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Tip-files1\tcbs\Calculation Utilities\Updated SVR 28-03-25\External (locked)\"/>
    </mc:Choice>
  </mc:AlternateContent>
  <xr:revisionPtr revIDLastSave="0" documentId="13_ncr:1_{331A6838-67A0-4EF3-9251-3B78A5666494}" xr6:coauthVersionLast="47" xr6:coauthVersionMax="47" xr10:uidLastSave="{00000000-0000-0000-0000-000000000000}"/>
  <workbookProtection workbookAlgorithmName="SHA-512" workbookHashValue="PVwjAGD8NH2KsFniAAHVw5f7YiK6l7x4X92nEuz/gtFzJOqeonOw9HR3IUyZRUkQA8LuR4Y3JgoLj/1LOVqQbw==" workbookSaltValue="VyLZ9y2OuheySxTrkRUMpg==" workbookSpinCount="100000" lockStructure="1"/>
  <bookViews>
    <workbookView xWindow="19090" yWindow="-17420" windowWidth="38620" windowHeight="2110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3" i="2"/>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3" i="1"/>
  <c r="C41" i="2" s="1"/>
  <c r="E38" i="1"/>
  <c r="G32" i="1" s="1"/>
  <c r="H16" i="1"/>
  <c r="H14" i="1"/>
  <c r="F46" i="2" l="1"/>
  <c r="I46" i="2"/>
  <c r="B56" i="2" s="1"/>
  <c r="F32" i="2"/>
  <c r="I32" i="2" s="1"/>
  <c r="C39" i="2"/>
  <c r="C47" i="2" s="1"/>
  <c r="C22" i="2"/>
  <c r="C35" i="2"/>
  <c r="E53" i="3" s="1"/>
  <c r="I28" i="2"/>
  <c r="F7" i="2"/>
  <c r="C8" i="2" s="1"/>
  <c r="F10" i="2" s="1"/>
  <c r="J10" i="1"/>
  <c r="B50" i="2" s="1"/>
  <c r="C12" i="2"/>
  <c r="I24" i="2"/>
  <c r="H26" i="2"/>
  <c r="C43" i="2"/>
  <c r="I34" i="2"/>
  <c r="I33" i="2"/>
  <c r="I35" i="2"/>
  <c r="E56" i="2" l="1"/>
  <c r="J14" i="1"/>
  <c r="F11" i="2"/>
  <c r="C29" i="2"/>
  <c r="C28" i="2"/>
  <c r="C21" i="2"/>
  <c r="I31" i="2"/>
  <c r="C17" i="2" s="1"/>
  <c r="C31" i="2" l="1"/>
  <c r="C24" i="2"/>
  <c r="F68" i="2" s="1"/>
  <c r="C45" i="2"/>
  <c r="F69" i="2" l="1"/>
  <c r="C42" i="2" s="1"/>
  <c r="F13" i="2" l="1"/>
  <c r="F70" i="2" l="1"/>
  <c r="B73" i="2"/>
  <c r="G12" i="2"/>
  <c r="G13" i="2" s="1"/>
  <c r="I16" i="2" s="1"/>
  <c r="H15" i="2"/>
  <c r="F15" i="2"/>
  <c r="F16" i="2"/>
  <c r="H16" i="2"/>
  <c r="G16" i="2" l="1"/>
  <c r="G15" i="2"/>
  <c r="I15" i="2"/>
  <c r="B58" i="2"/>
  <c r="E61" i="2" l="1"/>
  <c r="E63" i="2" s="1"/>
  <c r="E65" i="2" s="1"/>
  <c r="G45" i="1" s="1"/>
  <c r="F19" i="2" l="1"/>
  <c r="G19" i="2"/>
  <c r="B52" i="2" s="1"/>
  <c r="B61" i="2" l="1"/>
  <c r="B63" i="2" s="1"/>
  <c r="B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<sst xmlns="http://schemas.openxmlformats.org/spreadsheetml/2006/main" count="249" uniqueCount="192">
  <si>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</si>
  <si>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</si>
  <si>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</si>
  <si>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</si>
  <si>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</si>
  <si>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</si>
  <si>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</si>
  <si>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</si>
  <si>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</si>
  <si>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</si>
  <si>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</si>
  <si>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</si>
  <si>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</si>
  <si>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</si>
  <si>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</si>
  <si>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</si>
  <si>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</si>
  <si>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</si>
  <si>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</si>
  <si>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</si>
  <si>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</si>
  <si>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</si>
  <si>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</si>
  <si>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</si>
  <si>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</si>
  <si>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</si>
  <si>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</si>
  <si>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</si>
  <si>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</si>
  <si>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</si>
  <si>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</si>
  <si>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</si>
  <si>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</si>
  <si>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</si>
  <si>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</si>
  <si>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</si>
  <si>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</si>
  <si>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</si>
  <si>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</si>
  <si>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</si>
  <si>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</si>
  <si>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</si>
  <si>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</si>
  <si>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</si>
  <si>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</si>
  <si>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</si>
  <si>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</si>
  <si>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</si>
  <si>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</si>
  <si>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</si>
  <si>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</si>
  <si>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</si>
  <si>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</si>
  <si>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</si>
  <si>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</si>
  <si>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</si>
  <si>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</si>
  <si>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</si>
  <si>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</si>
  <si>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</si>
  <si>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</si>
  <si>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</si>
  <si>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</si>
  <si>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</si>
  <si>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</si>
  <si>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</si>
  <si>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</si>
  <si>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</si>
  <si>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</si>
  <si>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</si>
  <si>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</si>
  <si>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</si>
  <si>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</si>
  <si>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</si>
  <si>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</si>
  <si>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</si>
  <si>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</si>
  <si>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</si>
  <si>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</si>
  <si>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</si>
  <si>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</si>
  <si>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</si>
  <si>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</si>
  <si>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</si>
  <si>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</si>
  <si>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</si>
  <si>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</si>
  <si>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</si>
  <si>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</si>
  <si>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</si>
  <si>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</si>
  <si>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</si>
  <si>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</si>
  <si>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</si>
  <si>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</si>
  <si>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</si>
  <si>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</si>
  <si>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</si>
  <si>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</si>
  <si>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</si>
  <si>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</si>
  <si>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</si>
  <si>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</si>
  <si>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</si>
  <si>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</si>
  <si>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</si>
  <si>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</si>
  <si>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</si>
  <si>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</si>
  <si>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</si>
  <si>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</si>
  <si>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</si>
  <si>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</si>
  <si>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</si>
  <si>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</si>
  <si>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</si>
  <si>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</si>
  <si>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</si>
  <si>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</si>
  <si>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</si>
  <si>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</si>
  <si>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</si>
  <si>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</si>
  <si>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</si>
  <si>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</si>
  <si>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</si>
  <si>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</si>
  <si>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</si>
  <si>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</si>
  <si>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</si>
  <si>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</si>
  <si>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</si>
  <si>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</si>
  <si>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</si>
  <si>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</si>
  <si>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</si>
  <si>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</si>
  <si>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</si>
  <si>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</si>
  <si>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</si>
  <si>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</si>
  <si>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</si>
  <si>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</si>
  <si>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</si>
  <si>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</si>
  <si>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</si>
  <si>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</si>
  <si>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</si>
  <si>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</si>
  <si>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</si>
  <si>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</si>
  <si>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</si>
  <si>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</si>
  <si>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</si>
  <si>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</si>
  <si>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</si>
  <si>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</si>
  <si>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</si>
  <si>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</si>
  <si>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</si>
  <si>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</si>
  <si>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</si>
  <si>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</si>
  <si>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</si>
  <si>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</si>
  <si>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</si>
  <si>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</si>
  <si>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</si>
  <si>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</si>
  <si>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</si>
  <si>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</si>
  <si>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</si>
  <si>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</si>
  <si>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</si>
  <si>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</si>
  <si>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</si>
  <si>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</si>
  <si>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</si>
  <si>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</si>
  <si>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</si>
  <si>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</si>
  <si>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</si>
  <si>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</si>
  <si>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</si>
  <si>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</si>
  <si>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</si>
  <si>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 xml:space="preserve">Please include all gross annual income in the relevant field in the table below. 
Benefit income needs to be annualised and included in the 'Guaranteed Annual Income' field </t>
  </si>
  <si>
    <t>Affordability Calculator</t>
  </si>
  <si>
    <t>Based on disposable income (with LTV/Income multiple limits), your client/s could borrow up to:</t>
  </si>
  <si>
    <t xml:space="preserve">The loan to value is: </t>
  </si>
  <si>
    <t>***Interest Only VERSION****</t>
  </si>
  <si>
    <t>v.3.5 - Expires 06/2025 -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</si>
</sst>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3"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i/>
      <sz val="10"/>
      <name val="Calibri"/>
      <family val="2"/>
      <scheme val="minor"/>
    </font>
    <font>
      <b/>
      <sz val="36"/>
      <name val="Calibri"/>
      <family val="2"/>
      <scheme val="minor"/>
    </font>
    <font>
      <b/>
      <sz val="8"/>
      <color theme="1"/>
      <name val="Arial"/>
      <family val="2"/>
    </font>
    <font>
      <i/>
      <sz val="12"/>
      <name val="Calibri"/>
      <family val="2"/>
      <scheme val="minor"/>
    </font>
    <font>
      <sz val="12"/>
      <name val="Calibri"/>
      <family val="2"/>
      <scheme val="minor"/>
    </font>
    <font>
      <b/>
      <sz val="28"/>
      <name val="Calibri"/>
      <family val="2"/>
      <scheme val="minor"/>
    </font>
    <font>
      <b/>
      <sz val="18"/>
      <name val="Arial"/>
      <family val="2"/>
    </font>
    <font>
      <sz val="11"/>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4">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0" xfId="0" applyNumberFormat="1" applyFill="1" applyBorder="1" applyAlignment="1" applyProtection="1">
      <alignment horizontal="center" vertical="center" wrapText="1"/>
      <protection hidden="1"/>
    </xf>
    <xf numFmtId="10" fontId="0" fillId="2" borderId="11" xfId="0" applyNumberFormat="1" applyFill="1" applyBorder="1" applyAlignment="1" applyProtection="1">
      <alignment horizontal="center" vertical="center" wrapText="1"/>
      <protection hidden="1"/>
    </xf>
    <xf numFmtId="0" fontId="0" fillId="3" borderId="0" xfId="0" applyFill="1" applyAlignment="1" applyProtection="1">
      <alignment horizont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hidden="1"/>
    </xf>
    <xf numFmtId="0" fontId="39" fillId="3" borderId="0" xfId="0" applyFont="1" applyFill="1" applyAlignment="1" applyProtection="1">
      <alignment horizontal="right" vertical="center"/>
      <protection hidden="1"/>
    </xf>
    <xf numFmtId="10" fontId="41" fillId="2" borderId="0" xfId="0" applyNumberFormat="1" applyFont="1" applyFill="1" applyAlignment="1" applyProtection="1">
      <alignment horizontal="center" vertical="center"/>
      <protection hidden="1"/>
    </xf>
    <xf numFmtId="0" fontId="38" fillId="3" borderId="0" xfId="0" applyFont="1" applyFill="1" applyAlignment="1" applyProtection="1">
      <alignment horizontal="center" vertical="center"/>
      <protection hidden="1"/>
    </xf>
    <xf numFmtId="0" fontId="0" fillId="3" borderId="14" xfId="0" applyFill="1" applyBorder="1" applyAlignment="1" applyProtection="1">
      <alignment horizontal="center"/>
      <protection hidden="1"/>
    </xf>
    <xf numFmtId="0" fontId="39" fillId="3" borderId="0" xfId="0" applyFont="1" applyFill="1" applyAlignment="1" applyProtection="1">
      <alignment horizontal="center" vertical="center" wrapText="1"/>
      <protection hidden="1"/>
    </xf>
    <xf numFmtId="164" fontId="40" fillId="2" borderId="0" xfId="1" applyNumberFormat="1" applyFont="1" applyFill="1" applyBorder="1" applyAlignment="1" applyProtection="1">
      <alignment horizontal="center" vertical="center"/>
      <protection hidden="1"/>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hidden="1"/>
    </xf>
    <xf numFmtId="0" fontId="4" fillId="0" borderId="10" xfId="0" applyFont="1" applyBorder="1" applyAlignment="1" applyProtection="1">
      <alignment horizontal="left"/>
      <protection hidden="1"/>
    </xf>
    <xf numFmtId="0" fontId="26" fillId="6" borderId="0" xfId="0" applyFont="1" applyFill="1" applyAlignment="1" applyProtection="1">
      <alignment horizontal="left" vertic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44" fontId="30" fillId="2" borderId="10" xfId="0" applyNumberFormat="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1" fillId="0" borderId="10" xfId="0" applyFont="1" applyBorder="1" applyAlignment="1" applyProtection="1">
      <alignment horizontal="left"/>
      <protection locked="0"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0" fontId="34" fillId="3" borderId="0" xfId="0" applyFont="1" applyFill="1" applyAlignment="1" applyProtection="1">
      <alignment horizontal="center" vertical="center"/>
      <protection hidden="1"/>
    </xf>
    <xf numFmtId="164" fontId="36" fillId="12" borderId="0" xfId="1"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0" fontId="2" fillId="3" borderId="10" xfId="0" applyFont="1" applyFill="1" applyBorder="1" applyAlignment="1" applyProtection="1">
      <alignment horizontal="center"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35" fillId="3" borderId="0" xfId="0" applyFont="1" applyFill="1" applyAlignment="1" applyProtection="1">
      <alignment horizontal="center" vertical="center"/>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6" fillId="0" borderId="36" xfId="0" applyFont="1" applyBorder="1" applyAlignment="1">
      <alignment horizontal="center"/>
    </xf>
    <xf numFmtId="0" fontId="6" fillId="0" borderId="39" xfId="0" applyFont="1" applyBorder="1" applyAlignment="1">
      <alignment horizontal="center"/>
    </xf>
    <xf numFmtId="10" fontId="17" fillId="2" borderId="0" xfId="0" applyNumberFormat="1" applyFont="1" applyFill="1" applyAlignment="1" applyProtection="1">
      <alignment horizontal="center" vertical="center"/>
      <protection hidden="1"/>
    </xf>
    <xf numFmtId="0" fontId="8" fillId="3" borderId="0" xfId="0" applyFont="1" applyFill="1" applyAlignment="1" applyProtection="1">
      <alignment horizontal="center" vertical="center" wrapText="1"/>
      <protection hidden="1"/>
    </xf>
    <xf numFmtId="0" fontId="1" fillId="3"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2" fillId="0" borderId="29" xfId="0" applyFont="1" applyBorder="1" applyAlignment="1">
      <alignment horizontal="left" vertical="top"/>
    </xf>
    <xf numFmtId="0" fontId="2" fillId="0" borderId="30" xfId="0" applyFont="1" applyBorder="1" applyAlignment="1">
      <alignment horizontal="left" vertical="top"/>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42" fillId="0" borderId="0" xfId="0" applyFont="1"/>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90" zoomScaleNormal="90" workbookViewId="0">
      <selection activeCell="E30" sqref="E30"/>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6" t="s">
        <v>191</v>
      </c>
    </row>
    <row r="2" spans="2:11" ht="16.05" customHeight="1" x14ac:dyDescent="0.25">
      <c r="B2" s="188" t="s">
        <v>187</v>
      </c>
      <c r="C2" s="188"/>
      <c r="D2" s="188"/>
      <c r="E2" s="188"/>
      <c r="F2" s="188"/>
      <c r="G2" s="188"/>
      <c r="H2" s="188"/>
      <c r="I2" s="188"/>
      <c r="J2" s="188"/>
      <c r="K2" s="188"/>
    </row>
    <row r="3" spans="2:11" ht="15" customHeight="1" x14ac:dyDescent="0.25">
      <c r="B3" s="188"/>
      <c r="C3" s="188"/>
      <c r="D3" s="188"/>
      <c r="E3" s="188"/>
      <c r="F3" s="188"/>
      <c r="G3" s="188"/>
      <c r="H3" s="188"/>
      <c r="I3" s="188"/>
      <c r="J3" s="188"/>
      <c r="K3" s="188"/>
    </row>
    <row r="4" spans="2:11" ht="15.45" customHeight="1" x14ac:dyDescent="0.25">
      <c r="B4" s="188"/>
      <c r="C4" s="188"/>
      <c r="D4" s="188"/>
      <c r="E4" s="188"/>
      <c r="F4" s="188"/>
      <c r="G4" s="188"/>
      <c r="H4" s="188"/>
      <c r="I4" s="188"/>
      <c r="J4" s="188"/>
      <c r="K4" s="188"/>
    </row>
    <row r="5" spans="2:11" ht="9.4499999999999993" customHeight="1" x14ac:dyDescent="0.25">
      <c r="B5" s="57"/>
      <c r="C5" s="57"/>
      <c r="D5" s="57"/>
      <c r="E5" s="57"/>
      <c r="F5" s="57"/>
      <c r="G5" s="57"/>
      <c r="H5" s="57"/>
    </row>
    <row r="6" spans="2:11" ht="15" customHeight="1" x14ac:dyDescent="0.25">
      <c r="B6" s="222" t="s">
        <v>186</v>
      </c>
      <c r="C6" s="222"/>
      <c r="D6" s="222"/>
      <c r="E6" s="222"/>
      <c r="F6" s="222"/>
      <c r="G6" s="222"/>
      <c r="H6" s="222"/>
      <c r="I6" s="222"/>
      <c r="J6" s="222"/>
      <c r="K6" s="222"/>
    </row>
    <row r="7" spans="2:11" ht="9.4499999999999993" customHeight="1" x14ac:dyDescent="0.25">
      <c r="B7" s="222"/>
      <c r="C7" s="222"/>
      <c r="D7" s="222"/>
      <c r="E7" s="222"/>
      <c r="F7" s="222"/>
      <c r="G7" s="222"/>
      <c r="H7" s="222"/>
      <c r="I7" s="222"/>
      <c r="J7" s="222"/>
      <c r="K7" s="222"/>
    </row>
    <row r="8" spans="2:11" customFormat="1" ht="9.4499999999999993" customHeight="1" x14ac:dyDescent="0.25"/>
    <row r="9" spans="2:11" ht="46.2" customHeight="1" x14ac:dyDescent="0.25">
      <c r="B9" s="36"/>
      <c r="C9" s="36"/>
      <c r="D9" s="123" t="s">
        <v>103</v>
      </c>
      <c r="E9" s="123" t="s">
        <v>183</v>
      </c>
      <c r="F9" s="124" t="s">
        <v>184</v>
      </c>
      <c r="G9" s="124" t="s">
        <v>185</v>
      </c>
      <c r="H9" s="123" t="s">
        <v>79</v>
      </c>
      <c r="J9" s="189" t="s">
        <v>104</v>
      </c>
      <c r="K9" s="190"/>
    </row>
    <row r="10" spans="2:11" ht="12.45" customHeight="1" x14ac:dyDescent="0.25">
      <c r="B10" s="193" t="s">
        <v>95</v>
      </c>
      <c r="C10" s="194"/>
      <c r="D10" s="201"/>
      <c r="E10" s="191">
        <v>0</v>
      </c>
      <c r="F10" s="191">
        <v>0</v>
      </c>
      <c r="G10" s="199">
        <v>0</v>
      </c>
      <c r="H10" s="197">
        <f>IF(_App1&lt;&gt;"", (G10/2)+E10+F10, 0)</f>
        <v>0</v>
      </c>
      <c r="J10" s="203">
        <f>H10+H12+H14+H16</f>
        <v>0</v>
      </c>
      <c r="K10" s="203"/>
    </row>
    <row r="11" spans="2:11" ht="12.45" customHeight="1" x14ac:dyDescent="0.25">
      <c r="B11" s="195"/>
      <c r="C11" s="196"/>
      <c r="D11" s="202"/>
      <c r="E11" s="192"/>
      <c r="F11" s="192"/>
      <c r="G11" s="200"/>
      <c r="H11" s="198"/>
      <c r="J11" s="203"/>
      <c r="K11" s="203"/>
    </row>
    <row r="12" spans="2:11" x14ac:dyDescent="0.25">
      <c r="B12" s="193" t="s">
        <v>96</v>
      </c>
      <c r="C12" s="194"/>
      <c r="D12" s="201"/>
      <c r="E12" s="191">
        <v>0</v>
      </c>
      <c r="F12" s="191">
        <v>0</v>
      </c>
      <c r="G12" s="199">
        <v>0</v>
      </c>
      <c r="H12" s="197">
        <f>IF(_App2&lt;&gt;"", (G12/2)+E12+F12,0)</f>
        <v>0</v>
      </c>
      <c r="J12" s="172" t="s">
        <v>160</v>
      </c>
      <c r="K12" s="173"/>
    </row>
    <row r="13" spans="2:11" ht="12.45" customHeight="1" x14ac:dyDescent="0.25">
      <c r="B13" s="195"/>
      <c r="C13" s="196"/>
      <c r="D13" s="202"/>
      <c r="E13" s="192"/>
      <c r="F13" s="192"/>
      <c r="G13" s="200"/>
      <c r="H13" s="198"/>
      <c r="J13" s="174"/>
      <c r="K13" s="175"/>
    </row>
    <row r="14" spans="2:11" ht="12.45" customHeight="1" x14ac:dyDescent="0.25">
      <c r="B14" s="193" t="s">
        <v>97</v>
      </c>
      <c r="C14" s="194"/>
      <c r="D14" s="201"/>
      <c r="E14" s="191">
        <v>0</v>
      </c>
      <c r="F14" s="191">
        <v>0</v>
      </c>
      <c r="G14" s="199">
        <v>0</v>
      </c>
      <c r="H14" s="197">
        <f>IF(_App3&lt;&gt;"", (G14/2)+E14+F14,0)</f>
        <v>0</v>
      </c>
      <c r="J14" s="223">
        <f>MaxLoanMult</f>
        <v>0</v>
      </c>
      <c r="K14" s="223"/>
    </row>
    <row r="15" spans="2:11" ht="12.45" customHeight="1" x14ac:dyDescent="0.25">
      <c r="B15" s="195"/>
      <c r="C15" s="196"/>
      <c r="D15" s="202"/>
      <c r="E15" s="192"/>
      <c r="F15" s="192"/>
      <c r="G15" s="200"/>
      <c r="H15" s="198"/>
      <c r="J15" s="223"/>
      <c r="K15" s="223"/>
    </row>
    <row r="16" spans="2:11" ht="12.45" customHeight="1" x14ac:dyDescent="0.25">
      <c r="B16" s="193" t="s">
        <v>98</v>
      </c>
      <c r="C16" s="194"/>
      <c r="D16" s="201"/>
      <c r="E16" s="191">
        <v>0</v>
      </c>
      <c r="F16" s="191">
        <v>0</v>
      </c>
      <c r="G16" s="199">
        <v>0</v>
      </c>
      <c r="H16" s="197">
        <f>IF(_App4&lt;&gt;"", (G16/2)+E16+F16, 0)</f>
        <v>0</v>
      </c>
      <c r="J16" s="224" t="s">
        <v>161</v>
      </c>
      <c r="K16" s="225"/>
    </row>
    <row r="17" spans="1:17" ht="12.45" customHeight="1" x14ac:dyDescent="0.25">
      <c r="B17" s="195"/>
      <c r="C17" s="196"/>
      <c r="D17" s="202"/>
      <c r="E17" s="192"/>
      <c r="F17" s="192"/>
      <c r="G17" s="200"/>
      <c r="H17" s="198"/>
      <c r="J17" s="224"/>
      <c r="K17" s="225"/>
    </row>
    <row r="18" spans="1:17" ht="6" customHeight="1" x14ac:dyDescent="0.25">
      <c r="B18" s="37"/>
      <c r="C18" s="37"/>
      <c r="D18" s="165"/>
      <c r="E18" s="166"/>
      <c r="F18" s="166"/>
      <c r="G18" s="39"/>
      <c r="H18" s="39"/>
      <c r="J18" s="224"/>
      <c r="K18" s="225"/>
    </row>
    <row r="19" spans="1:17" ht="26.55" customHeight="1" x14ac:dyDescent="0.25">
      <c r="B19" s="229" t="s">
        <v>9</v>
      </c>
      <c r="C19" s="229"/>
      <c r="D19" s="229"/>
      <c r="E19" s="51" t="s">
        <v>99</v>
      </c>
      <c r="F19" s="144">
        <v>0</v>
      </c>
      <c r="G19" s="51" t="s">
        <v>100</v>
      </c>
      <c r="H19" s="144">
        <v>0</v>
      </c>
      <c r="I19" s="129"/>
      <c r="J19" s="226"/>
      <c r="K19" s="227"/>
    </row>
    <row r="20" spans="1:17" ht="6.6" customHeight="1" x14ac:dyDescent="0.25">
      <c r="B20" s="55"/>
      <c r="C20" s="52"/>
      <c r="D20" s="167"/>
      <c r="F20" s="167"/>
      <c r="G20" s="37"/>
      <c r="H20" s="167"/>
      <c r="J20" s="37"/>
      <c r="K20" s="168"/>
    </row>
    <row r="21" spans="1:17" ht="25.05" hidden="1" customHeight="1" x14ac:dyDescent="0.25">
      <c r="B21" s="229" t="s">
        <v>80</v>
      </c>
      <c r="C21" s="229"/>
      <c r="D21" s="229"/>
      <c r="E21" s="228"/>
      <c r="F21" s="228"/>
      <c r="G21" s="228"/>
      <c r="H21" s="228"/>
      <c r="I21" s="228"/>
      <c r="J21" s="228"/>
      <c r="K21" s="228"/>
    </row>
    <row r="22" spans="1:17" ht="6.75" hidden="1" customHeight="1" x14ac:dyDescent="0.25">
      <c r="B22" s="23"/>
      <c r="C22" s="20"/>
      <c r="D22" s="20"/>
      <c r="E22" s="20"/>
      <c r="F22" s="20"/>
      <c r="G22" s="20"/>
      <c r="H22" s="20"/>
      <c r="J22" s="20"/>
      <c r="K22" s="20"/>
    </row>
    <row r="23" spans="1:17" ht="27" customHeight="1" x14ac:dyDescent="0.3">
      <c r="A23" s="24" t="s">
        <v>49</v>
      </c>
      <c r="B23" s="176" t="s">
        <v>101</v>
      </c>
      <c r="C23" s="176"/>
      <c r="D23" s="176"/>
      <c r="E23" s="219" t="s">
        <v>81</v>
      </c>
      <c r="F23" s="219"/>
      <c r="G23" s="219"/>
      <c r="H23" s="219"/>
      <c r="I23" s="219"/>
      <c r="J23" s="219"/>
      <c r="K23" s="219"/>
      <c r="L23" s="20"/>
      <c r="M23" s="363"/>
      <c r="N23" s="25"/>
    </row>
    <row r="24" spans="1:17" ht="6.45" customHeight="1" x14ac:dyDescent="0.25">
      <c r="M24"/>
    </row>
    <row r="25" spans="1:17" ht="15.45" customHeight="1" x14ac:dyDescent="0.25">
      <c r="B25" s="217" t="s">
        <v>2</v>
      </c>
      <c r="C25" s="218"/>
      <c r="D25" s="50" t="s">
        <v>82</v>
      </c>
      <c r="E25" s="51" t="s">
        <v>133</v>
      </c>
      <c r="F25" s="141" t="s">
        <v>83</v>
      </c>
      <c r="G25" s="51" t="s">
        <v>55</v>
      </c>
      <c r="H25" s="51" t="s">
        <v>10</v>
      </c>
      <c r="I25" s="176" t="s">
        <v>156</v>
      </c>
      <c r="J25" s="176"/>
      <c r="K25" s="176"/>
      <c r="N25"/>
      <c r="O25"/>
    </row>
    <row r="26" spans="1:17" ht="18" customHeight="1" x14ac:dyDescent="0.25">
      <c r="B26" s="210">
        <v>0</v>
      </c>
      <c r="C26" s="211"/>
      <c r="D26" s="58">
        <v>0</v>
      </c>
      <c r="E26" s="169">
        <f>ROUND(IF(D26&lt;&gt;0, IF(LoanAmount&lt;&gt;0,  IF((LoanAmount/D26) &gt; 1, 1, (LoanAmount/D26)), 0), 0), 4)</f>
        <v>0</v>
      </c>
      <c r="F26" s="56">
        <v>0</v>
      </c>
      <c r="G26" s="145">
        <v>0.06</v>
      </c>
      <c r="H26" s="170">
        <v>8.14E-2</v>
      </c>
      <c r="I26" s="177" t="s">
        <v>168</v>
      </c>
      <c r="J26" s="177"/>
      <c r="K26" s="177"/>
      <c r="N26" s="140"/>
      <c r="O26" s="140"/>
    </row>
    <row r="27" spans="1:17" ht="16.5" customHeight="1" x14ac:dyDescent="0.25"/>
    <row r="28" spans="1:17" ht="16.5" customHeight="1" x14ac:dyDescent="0.25">
      <c r="B28" s="215" t="s">
        <v>176</v>
      </c>
      <c r="C28" s="215"/>
      <c r="D28" s="215"/>
      <c r="E28" s="215"/>
      <c r="F28" s="41"/>
      <c r="G28" s="187" t="s">
        <v>165</v>
      </c>
      <c r="H28" s="187"/>
      <c r="I28" s="187"/>
      <c r="J28" s="187"/>
      <c r="K28" s="187"/>
      <c r="M28"/>
      <c r="N28"/>
      <c r="O28"/>
      <c r="P28"/>
      <c r="Q28"/>
    </row>
    <row r="29" spans="1:17" ht="13.8" x14ac:dyDescent="0.25">
      <c r="B29" s="216"/>
      <c r="C29" s="216"/>
      <c r="D29" s="216"/>
      <c r="E29" s="216"/>
      <c r="F29" s="14"/>
      <c r="G29" s="187"/>
      <c r="H29" s="187"/>
      <c r="I29" s="187"/>
      <c r="J29" s="187"/>
      <c r="K29" s="187"/>
      <c r="M29"/>
      <c r="N29"/>
      <c r="O29"/>
      <c r="P29"/>
      <c r="Q29"/>
    </row>
    <row r="30" spans="1:17" ht="14.25" customHeight="1" x14ac:dyDescent="0.25">
      <c r="B30" s="186" t="s">
        <v>51</v>
      </c>
      <c r="C30" s="186"/>
      <c r="D30" s="186"/>
      <c r="E30" s="27">
        <v>0</v>
      </c>
      <c r="G30" s="220" t="s">
        <v>162</v>
      </c>
      <c r="H30" s="220"/>
      <c r="I30" s="220"/>
      <c r="J30" s="220"/>
      <c r="K30" s="220"/>
      <c r="M30"/>
      <c r="N30"/>
      <c r="O30"/>
      <c r="P30"/>
      <c r="Q30"/>
    </row>
    <row r="31" spans="1:17" ht="14.25" customHeight="1" x14ac:dyDescent="0.25">
      <c r="B31" s="186" t="s">
        <v>52</v>
      </c>
      <c r="C31" s="186"/>
      <c r="D31" s="186"/>
      <c r="E31" s="27">
        <v>0</v>
      </c>
      <c r="G31" s="220"/>
      <c r="H31" s="220"/>
      <c r="I31" s="220"/>
      <c r="J31" s="220"/>
      <c r="K31" s="220"/>
      <c r="M31"/>
      <c r="N31"/>
      <c r="O31"/>
      <c r="P31"/>
      <c r="Q31"/>
    </row>
    <row r="32" spans="1:17" ht="14.25" customHeight="1" x14ac:dyDescent="0.25">
      <c r="B32" s="185" t="s">
        <v>84</v>
      </c>
      <c r="C32" s="186"/>
      <c r="D32" s="186"/>
      <c r="E32" s="27">
        <v>0</v>
      </c>
      <c r="G32" s="221" t="str">
        <f>IF(Income&lt;=0, "Enter Income",IF(AND(Income&lt;&gt;"", DisposableIncomePercentage &gt;= 0), RealFinalAmount, "N/A"))</f>
        <v>Enter Income</v>
      </c>
      <c r="H32" s="221"/>
      <c r="I32" s="221"/>
      <c r="J32" s="221"/>
      <c r="K32" s="221"/>
      <c r="M32" s="59"/>
      <c r="N32"/>
      <c r="O32"/>
      <c r="P32"/>
      <c r="Q32"/>
    </row>
    <row r="33" spans="2:24" ht="14.25" customHeight="1" x14ac:dyDescent="0.25">
      <c r="B33" s="185" t="s">
        <v>85</v>
      </c>
      <c r="C33" s="186"/>
      <c r="D33" s="186"/>
      <c r="E33" s="27">
        <v>0</v>
      </c>
      <c r="G33" s="221"/>
      <c r="H33" s="221"/>
      <c r="I33" s="221"/>
      <c r="J33" s="221"/>
      <c r="K33" s="221"/>
      <c r="M33"/>
      <c r="N33"/>
      <c r="O33"/>
      <c r="P33"/>
      <c r="Q33"/>
    </row>
    <row r="34" spans="2:24" ht="14.25" customHeight="1" x14ac:dyDescent="0.25">
      <c r="B34" s="185" t="s">
        <v>125</v>
      </c>
      <c r="C34" s="186"/>
      <c r="D34" s="186"/>
      <c r="E34" s="53">
        <v>0</v>
      </c>
      <c r="G34" s="221"/>
      <c r="H34" s="221"/>
      <c r="I34" s="221"/>
      <c r="J34" s="221"/>
      <c r="K34" s="221"/>
      <c r="M34"/>
      <c r="N34"/>
      <c r="O34"/>
      <c r="P34"/>
      <c r="Q34"/>
    </row>
    <row r="35" spans="2:24" ht="14.25" customHeight="1" x14ac:dyDescent="0.25">
      <c r="B35" s="185" t="s">
        <v>11</v>
      </c>
      <c r="C35" s="186"/>
      <c r="D35" s="186"/>
      <c r="E35" s="53">
        <v>0</v>
      </c>
      <c r="G35" s="221"/>
      <c r="H35" s="221"/>
      <c r="I35" s="221"/>
      <c r="J35" s="221"/>
      <c r="K35" s="221"/>
      <c r="M35"/>
      <c r="N35"/>
      <c r="O35"/>
      <c r="P35"/>
      <c r="Q35"/>
    </row>
    <row r="36" spans="2:24" ht="14.25" customHeight="1" x14ac:dyDescent="0.25">
      <c r="B36" s="186" t="s">
        <v>12</v>
      </c>
      <c r="C36" s="186"/>
      <c r="D36" s="186"/>
      <c r="E36" s="53">
        <v>0</v>
      </c>
      <c r="G36" s="221"/>
      <c r="H36" s="221"/>
      <c r="I36" s="221"/>
      <c r="J36" s="221"/>
      <c r="K36" s="221"/>
      <c r="M36"/>
      <c r="N36"/>
      <c r="O36"/>
      <c r="P36"/>
      <c r="Q36"/>
    </row>
    <row r="37" spans="2:24" ht="14.25" customHeight="1" x14ac:dyDescent="0.25">
      <c r="B37" s="207" t="s">
        <v>92</v>
      </c>
      <c r="C37" s="208"/>
      <c r="D37" s="125"/>
      <c r="E37" s="27">
        <v>0</v>
      </c>
      <c r="G37" s="180" t="s">
        <v>132</v>
      </c>
      <c r="H37" s="180"/>
      <c r="I37" s="180"/>
      <c r="J37" s="180"/>
      <c r="K37" s="180"/>
    </row>
    <row r="38" spans="2:24" ht="14.25" customHeight="1" x14ac:dyDescent="0.25">
      <c r="B38" s="184" t="s">
        <v>38</v>
      </c>
      <c r="C38" s="184"/>
      <c r="D38" s="184"/>
      <c r="E38" s="26">
        <f>SUM((E30:E33),(E34/2),(E35/2),(E36/2),E37)</f>
        <v>0</v>
      </c>
      <c r="G38" s="180"/>
      <c r="H38" s="180"/>
      <c r="I38" s="180"/>
      <c r="J38" s="180"/>
      <c r="K38" s="180"/>
    </row>
    <row r="39" spans="2:24" ht="13.8" customHeight="1" x14ac:dyDescent="0.25">
      <c r="F39" s="16"/>
      <c r="G39" s="181"/>
      <c r="H39" s="181"/>
      <c r="I39" s="181"/>
      <c r="J39" s="181"/>
      <c r="K39" s="181"/>
      <c r="N39"/>
      <c r="O39"/>
      <c r="P39"/>
      <c r="Q39"/>
    </row>
    <row r="40" spans="2:24" ht="15.45" customHeight="1" x14ac:dyDescent="0.25">
      <c r="B40" s="212" t="s">
        <v>154</v>
      </c>
      <c r="C40" s="212"/>
      <c r="D40" s="212"/>
      <c r="E40" s="212"/>
      <c r="G40" s="171"/>
      <c r="H40" s="171"/>
      <c r="I40" s="171"/>
      <c r="J40" s="171"/>
      <c r="K40" s="171"/>
      <c r="T40"/>
      <c r="U40"/>
      <c r="V40"/>
      <c r="W40"/>
      <c r="X40"/>
    </row>
    <row r="41" spans="2:24" ht="13.2" customHeight="1" x14ac:dyDescent="0.25">
      <c r="B41" s="213"/>
      <c r="C41" s="213"/>
      <c r="D41" s="213"/>
      <c r="E41" s="213"/>
      <c r="G41" s="171"/>
      <c r="H41" s="171"/>
      <c r="I41" s="171"/>
      <c r="J41" s="171"/>
      <c r="K41" s="171"/>
      <c r="T41"/>
      <c r="U41"/>
      <c r="V41"/>
      <c r="W41"/>
      <c r="X41"/>
    </row>
    <row r="42" spans="2:24" ht="14.25" customHeight="1" x14ac:dyDescent="0.25">
      <c r="B42" s="185" t="s">
        <v>44</v>
      </c>
      <c r="C42" s="185"/>
      <c r="D42" s="185"/>
      <c r="E42" s="27">
        <v>0</v>
      </c>
      <c r="G42" s="182" t="s">
        <v>188</v>
      </c>
      <c r="H42" s="182"/>
      <c r="I42" s="182"/>
      <c r="J42" s="182"/>
      <c r="K42" s="182"/>
      <c r="T42"/>
      <c r="U42"/>
      <c r="V42"/>
      <c r="W42"/>
      <c r="X42"/>
    </row>
    <row r="43" spans="2:24" ht="14.55" customHeight="1" x14ac:dyDescent="0.25">
      <c r="B43" s="209" t="s">
        <v>47</v>
      </c>
      <c r="C43" s="209"/>
      <c r="D43" s="209"/>
      <c r="E43" s="205">
        <f>CreditCardBalances*3%</f>
        <v>0</v>
      </c>
      <c r="G43" s="182"/>
      <c r="H43" s="182"/>
      <c r="I43" s="182"/>
      <c r="J43" s="182"/>
      <c r="K43" s="182"/>
      <c r="T43"/>
      <c r="U43"/>
      <c r="V43"/>
      <c r="W43"/>
      <c r="X43"/>
    </row>
    <row r="44" spans="2:24" ht="13.95" customHeight="1" x14ac:dyDescent="0.25">
      <c r="B44" s="209"/>
      <c r="C44" s="209"/>
      <c r="D44" s="209"/>
      <c r="E44" s="206"/>
      <c r="G44" s="182"/>
      <c r="H44" s="182"/>
      <c r="I44" s="182"/>
      <c r="J44" s="182"/>
      <c r="K44" s="182"/>
      <c r="T44"/>
      <c r="U44"/>
      <c r="V44"/>
      <c r="W44"/>
      <c r="X44"/>
    </row>
    <row r="45" spans="2:24" ht="14.25" customHeight="1" x14ac:dyDescent="0.25">
      <c r="B45" s="214" t="s">
        <v>76</v>
      </c>
      <c r="C45" s="214"/>
      <c r="D45" s="214"/>
      <c r="E45" s="27">
        <v>0</v>
      </c>
      <c r="G45" s="183">
        <f>ZeroPercentageMaxLoan</f>
        <v>0</v>
      </c>
      <c r="H45" s="183"/>
      <c r="I45" s="183"/>
      <c r="J45" s="183"/>
      <c r="K45" s="183"/>
      <c r="R45" s="143"/>
      <c r="S45" s="143"/>
      <c r="T45" s="143"/>
      <c r="U45" s="143"/>
      <c r="V45" s="143"/>
      <c r="W45" s="143"/>
    </row>
    <row r="46" spans="2:24" ht="14.25" customHeight="1" x14ac:dyDescent="0.25">
      <c r="B46" s="214" t="s">
        <v>76</v>
      </c>
      <c r="C46" s="214"/>
      <c r="D46" s="214"/>
      <c r="E46" s="27">
        <v>0</v>
      </c>
      <c r="G46" s="183"/>
      <c r="H46" s="183"/>
      <c r="I46" s="183"/>
      <c r="J46" s="183"/>
      <c r="K46" s="183"/>
      <c r="R46" s="143"/>
      <c r="S46" s="143"/>
      <c r="T46" s="143"/>
      <c r="U46" s="143"/>
      <c r="V46" s="143"/>
      <c r="W46" s="143"/>
    </row>
    <row r="47" spans="2:24" ht="14.25" customHeight="1" x14ac:dyDescent="0.25">
      <c r="B47" s="214" t="s">
        <v>76</v>
      </c>
      <c r="C47" s="214"/>
      <c r="D47" s="214"/>
      <c r="E47" s="27">
        <v>0</v>
      </c>
      <c r="G47" s="183"/>
      <c r="H47" s="183"/>
      <c r="I47" s="183"/>
      <c r="J47" s="183"/>
      <c r="K47" s="183"/>
      <c r="R47" s="143"/>
      <c r="S47" s="143"/>
      <c r="T47" s="143"/>
      <c r="U47" s="143"/>
      <c r="V47" s="143"/>
      <c r="W47" s="143"/>
    </row>
    <row r="48" spans="2:24" ht="14.25" customHeight="1" x14ac:dyDescent="0.25">
      <c r="B48" s="214" t="s">
        <v>76</v>
      </c>
      <c r="C48" s="214"/>
      <c r="D48" s="214"/>
      <c r="E48" s="27">
        <v>0</v>
      </c>
      <c r="G48" s="183"/>
      <c r="H48" s="183"/>
      <c r="I48" s="183"/>
      <c r="J48" s="183"/>
      <c r="K48" s="183"/>
      <c r="S48" s="143"/>
      <c r="T48" s="143"/>
      <c r="U48" s="143"/>
      <c r="V48" s="143"/>
      <c r="W48" s="143"/>
    </row>
    <row r="49" spans="2:23" ht="14.25" customHeight="1" x14ac:dyDescent="0.25">
      <c r="B49" s="214" t="s">
        <v>76</v>
      </c>
      <c r="C49" s="214"/>
      <c r="D49" s="214"/>
      <c r="E49" s="27">
        <v>0</v>
      </c>
      <c r="G49" s="171"/>
      <c r="H49" s="171"/>
      <c r="I49" s="171"/>
      <c r="J49" s="171"/>
      <c r="K49" s="171"/>
      <c r="O49"/>
      <c r="P49"/>
      <c r="Q49"/>
      <c r="S49" s="143"/>
      <c r="T49" s="143"/>
      <c r="U49" s="143"/>
      <c r="V49" s="143"/>
      <c r="W49" s="143"/>
    </row>
    <row r="50" spans="2:23" ht="14.25" customHeight="1" x14ac:dyDescent="0.25">
      <c r="B50" s="214" t="s">
        <v>76</v>
      </c>
      <c r="C50" s="214"/>
      <c r="D50" s="214"/>
      <c r="E50" s="27">
        <v>0</v>
      </c>
      <c r="G50" s="178" t="s">
        <v>189</v>
      </c>
      <c r="H50" s="178"/>
      <c r="I50" s="178"/>
      <c r="J50" s="178"/>
      <c r="K50" s="179">
        <f>E26</f>
        <v>0</v>
      </c>
      <c r="M50"/>
      <c r="N50"/>
      <c r="O50"/>
      <c r="P50"/>
      <c r="Q50"/>
      <c r="S50" s="15"/>
    </row>
    <row r="51" spans="2:23" ht="14.25" customHeight="1" x14ac:dyDescent="0.25">
      <c r="B51" s="214" t="s">
        <v>76</v>
      </c>
      <c r="C51" s="214"/>
      <c r="D51" s="214"/>
      <c r="E51" s="27">
        <v>0</v>
      </c>
      <c r="G51" s="178"/>
      <c r="H51" s="178"/>
      <c r="I51" s="178"/>
      <c r="J51" s="178"/>
      <c r="K51" s="179"/>
      <c r="S51" s="15"/>
    </row>
    <row r="52" spans="2:23" ht="14.25" customHeight="1" x14ac:dyDescent="0.25">
      <c r="B52" s="207" t="s">
        <v>92</v>
      </c>
      <c r="C52" s="208"/>
      <c r="D52" s="128"/>
      <c r="E52" s="27">
        <v>0</v>
      </c>
      <c r="G52" s="171"/>
      <c r="H52" s="171"/>
      <c r="I52" s="171"/>
      <c r="J52" s="171"/>
      <c r="K52" s="171"/>
      <c r="S52" s="15"/>
    </row>
    <row r="53" spans="2:23" ht="14.25" customHeight="1" x14ac:dyDescent="0.25">
      <c r="B53" s="184" t="s">
        <v>14</v>
      </c>
      <c r="C53" s="184"/>
      <c r="D53" s="184"/>
      <c r="E53" s="26">
        <f>SUM(E43:E52)</f>
        <v>0</v>
      </c>
      <c r="G53" s="171"/>
      <c r="H53" s="171"/>
      <c r="I53" s="171"/>
      <c r="J53" s="171"/>
      <c r="K53" s="171"/>
    </row>
    <row r="54" spans="2:23" ht="5.25" customHeight="1" x14ac:dyDescent="0.25">
      <c r="B54" s="16"/>
      <c r="E54" s="17"/>
    </row>
    <row r="55" spans="2:23" ht="9" customHeight="1" x14ac:dyDescent="0.25">
      <c r="B55" s="16"/>
      <c r="E55" s="18"/>
      <c r="G55" s="19"/>
      <c r="H55" s="19"/>
      <c r="J55" s="19"/>
      <c r="K55" s="19"/>
    </row>
    <row r="56" spans="2:23" ht="12.75" customHeight="1" x14ac:dyDescent="0.25">
      <c r="B56" s="204" t="s">
        <v>61</v>
      </c>
      <c r="C56" s="204"/>
      <c r="D56" s="204"/>
      <c r="E56" s="204"/>
      <c r="F56" s="204"/>
      <c r="G56" s="204"/>
      <c r="H56" s="204"/>
      <c r="I56" s="204"/>
      <c r="J56" s="204"/>
      <c r="K56" s="204"/>
    </row>
    <row r="57" spans="2:23" ht="18" customHeight="1" x14ac:dyDescent="0.25">
      <c r="B57" s="204"/>
      <c r="C57" s="204"/>
      <c r="D57" s="204"/>
      <c r="E57" s="204"/>
      <c r="F57" s="204"/>
      <c r="G57" s="204"/>
      <c r="H57" s="204"/>
      <c r="I57" s="204"/>
      <c r="J57" s="204"/>
      <c r="K57" s="204"/>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zzJk9HdYno7ypKLOb3rrM/XTWV1DQ6GLCqjH88JI8Fi72dWuDABfhxfCywJRp8pDjz98CFOKRoXC7OgNnGVTXQ==" saltValue="/NfP3pPXKDhzQe4mSJYqhQ==" spinCount="100000" sheet="1" selectLockedCells="1"/>
  <protectedRanges>
    <protectedRange password="95CF" sqref="E38 E53" name="Range1"/>
    <protectedRange password="95CF" sqref="X41:X44" name="Range1_1_1"/>
    <protectedRange password="95CF" sqref="G32 J33" name="Range1_1_4"/>
  </protectedRanges>
  <mergeCells count="78">
    <mergeCell ref="B6:K7"/>
    <mergeCell ref="J14:K15"/>
    <mergeCell ref="J16:K19"/>
    <mergeCell ref="E21:K21"/>
    <mergeCell ref="G16:G17"/>
    <mergeCell ref="H16:H17"/>
    <mergeCell ref="G14:G15"/>
    <mergeCell ref="F14:F15"/>
    <mergeCell ref="F16:F17"/>
    <mergeCell ref="B21:D21"/>
    <mergeCell ref="E14:E15"/>
    <mergeCell ref="E16:E17"/>
    <mergeCell ref="B16:C17"/>
    <mergeCell ref="B14:C15"/>
    <mergeCell ref="B19:D19"/>
    <mergeCell ref="D14:D15"/>
    <mergeCell ref="B51:D51"/>
    <mergeCell ref="B48:D48"/>
    <mergeCell ref="B50:D50"/>
    <mergeCell ref="B35:D35"/>
    <mergeCell ref="B23:D23"/>
    <mergeCell ref="B37:C37"/>
    <mergeCell ref="B32:D32"/>
    <mergeCell ref="B33:D33"/>
    <mergeCell ref="B36:D36"/>
    <mergeCell ref="B28:E29"/>
    <mergeCell ref="B25:C25"/>
    <mergeCell ref="B30:D30"/>
    <mergeCell ref="B42:D42"/>
    <mergeCell ref="E23:K23"/>
    <mergeCell ref="G30:K31"/>
    <mergeCell ref="G32:K36"/>
    <mergeCell ref="D16:D17"/>
    <mergeCell ref="H14:H15"/>
    <mergeCell ref="H12:H13"/>
    <mergeCell ref="J10:K11"/>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G28:K29"/>
    <mergeCell ref="B2:K4"/>
    <mergeCell ref="J9:K9"/>
    <mergeCell ref="E10:E11"/>
    <mergeCell ref="E12:E13"/>
    <mergeCell ref="B10:C11"/>
    <mergeCell ref="H10:H11"/>
    <mergeCell ref="G10:G11"/>
    <mergeCell ref="D10:D11"/>
    <mergeCell ref="D12:D13"/>
    <mergeCell ref="F10:F11"/>
    <mergeCell ref="F12:F13"/>
    <mergeCell ref="B12:C13"/>
    <mergeCell ref="G12:G13"/>
    <mergeCell ref="G53:K53"/>
    <mergeCell ref="J12:K13"/>
    <mergeCell ref="G52:K52"/>
    <mergeCell ref="I25:K25"/>
    <mergeCell ref="G49:K49"/>
    <mergeCell ref="I26:K26"/>
    <mergeCell ref="G41:K41"/>
    <mergeCell ref="G50:J51"/>
    <mergeCell ref="K50:K51"/>
    <mergeCell ref="G37:K38"/>
    <mergeCell ref="G39:K39"/>
    <mergeCell ref="G40:K40"/>
    <mergeCell ref="G42:K44"/>
    <mergeCell ref="G45:K48"/>
  </mergeCells>
  <phoneticPr fontId="3" type="noConversion"/>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32" zoomScaleNormal="100" workbookViewId="0">
      <selection activeCell="E48" sqref="E48: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2" t="s">
        <v>40</v>
      </c>
      <c r="C2" s="272"/>
      <c r="D2" s="272"/>
      <c r="E2" s="272"/>
      <c r="F2" s="272"/>
      <c r="G2" s="272"/>
      <c r="H2" s="272"/>
    </row>
    <row r="3" spans="2:13" ht="3.75" customHeight="1" x14ac:dyDescent="0.25">
      <c r="B3" s="305"/>
      <c r="C3" s="305"/>
      <c r="D3" s="305"/>
      <c r="E3" s="305"/>
      <c r="F3" s="305"/>
      <c r="G3" s="305"/>
      <c r="H3" s="305"/>
    </row>
    <row r="4" spans="2:13" ht="36" customHeight="1" x14ac:dyDescent="0.25">
      <c r="B4" s="285" t="s">
        <v>43</v>
      </c>
      <c r="C4" s="285"/>
      <c r="D4" s="285"/>
      <c r="E4" s="285"/>
      <c r="F4" s="285"/>
      <c r="G4" s="285"/>
      <c r="H4" s="285"/>
    </row>
    <row r="5" spans="2:13" ht="15.75" customHeight="1" thickBot="1" x14ac:dyDescent="0.3">
      <c r="B5" s="304" t="s">
        <v>105</v>
      </c>
      <c r="C5" s="304"/>
      <c r="D5" s="304"/>
      <c r="E5" s="304"/>
      <c r="F5" s="304"/>
      <c r="G5" s="304"/>
      <c r="H5" s="304"/>
    </row>
    <row r="6" spans="2:13" ht="27" customHeight="1" x14ac:dyDescent="0.25">
      <c r="B6" s="273" t="s">
        <v>20</v>
      </c>
      <c r="C6" s="274"/>
      <c r="D6" s="275"/>
      <c r="E6" s="267" t="s">
        <v>108</v>
      </c>
      <c r="F6" s="267"/>
      <c r="G6" s="267" t="s">
        <v>109</v>
      </c>
      <c r="H6" s="296"/>
    </row>
    <row r="7" spans="2:13" ht="16.5" customHeight="1" x14ac:dyDescent="0.25">
      <c r="B7" s="230" t="s">
        <v>126</v>
      </c>
      <c r="C7" s="231"/>
      <c r="D7" s="232"/>
      <c r="E7" s="268">
        <v>117.65</v>
      </c>
      <c r="F7" s="269"/>
      <c r="G7" s="268">
        <v>156.47</v>
      </c>
      <c r="H7" s="269"/>
      <c r="J7" s="86"/>
    </row>
    <row r="8" spans="2:13" ht="16.5" customHeight="1" x14ac:dyDescent="0.25">
      <c r="B8" s="236" t="s">
        <v>127</v>
      </c>
      <c r="C8" s="237"/>
      <c r="D8" s="238"/>
      <c r="E8" s="265">
        <v>22.26</v>
      </c>
      <c r="F8" s="266"/>
      <c r="G8" s="265">
        <v>29.61</v>
      </c>
      <c r="H8" s="266"/>
      <c r="J8" s="86"/>
    </row>
    <row r="9" spans="2:13" ht="16.5" customHeight="1" x14ac:dyDescent="0.25">
      <c r="B9" s="233" t="s">
        <v>53</v>
      </c>
      <c r="C9" s="234"/>
      <c r="D9" s="235"/>
      <c r="E9" s="270">
        <v>30.49</v>
      </c>
      <c r="F9" s="271"/>
      <c r="G9" s="270">
        <v>40.549999999999997</v>
      </c>
      <c r="H9" s="271"/>
    </row>
    <row r="10" spans="2:13" ht="16.5" customHeight="1" x14ac:dyDescent="0.25">
      <c r="B10" s="236" t="s">
        <v>28</v>
      </c>
      <c r="C10" s="239"/>
      <c r="D10" s="240"/>
      <c r="E10" s="265">
        <v>153.91999999999999</v>
      </c>
      <c r="F10" s="266"/>
      <c r="G10" s="265">
        <v>204.72</v>
      </c>
      <c r="H10" s="266"/>
    </row>
    <row r="11" spans="2:13" ht="16.5" customHeight="1" x14ac:dyDescent="0.25">
      <c r="B11" s="233" t="s">
        <v>29</v>
      </c>
      <c r="C11" s="234"/>
      <c r="D11" s="235"/>
      <c r="E11" s="270">
        <v>58.54</v>
      </c>
      <c r="F11" s="271"/>
      <c r="G11" s="270">
        <v>77.86</v>
      </c>
      <c r="H11" s="271"/>
    </row>
    <row r="12" spans="2:13" ht="16.5" customHeight="1" x14ac:dyDescent="0.25">
      <c r="B12" s="236" t="s">
        <v>128</v>
      </c>
      <c r="C12" s="237"/>
      <c r="D12" s="238"/>
      <c r="E12" s="265">
        <v>19.27</v>
      </c>
      <c r="F12" s="266"/>
      <c r="G12" s="265">
        <v>25.63</v>
      </c>
      <c r="H12" s="266"/>
    </row>
    <row r="13" spans="2:13" ht="16.5" customHeight="1" x14ac:dyDescent="0.25">
      <c r="B13" s="233" t="s">
        <v>30</v>
      </c>
      <c r="C13" s="234"/>
      <c r="D13" s="235"/>
      <c r="E13" s="270">
        <v>137.29</v>
      </c>
      <c r="F13" s="271"/>
      <c r="G13" s="270">
        <v>182.59</v>
      </c>
      <c r="H13" s="271"/>
    </row>
    <row r="14" spans="2:13" ht="16.5" customHeight="1" x14ac:dyDescent="0.25">
      <c r="B14" s="236" t="s">
        <v>31</v>
      </c>
      <c r="C14" s="239"/>
      <c r="D14" s="240"/>
      <c r="E14" s="265">
        <v>38.72</v>
      </c>
      <c r="F14" s="266"/>
      <c r="G14" s="265">
        <v>51.5</v>
      </c>
      <c r="H14" s="266"/>
      <c r="L14" s="34"/>
      <c r="M14" s="34"/>
    </row>
    <row r="15" spans="2:13" ht="16.5" customHeight="1" x14ac:dyDescent="0.25">
      <c r="B15" s="241" t="s">
        <v>129</v>
      </c>
      <c r="C15" s="242"/>
      <c r="D15" s="243"/>
      <c r="E15" s="270">
        <v>134.11000000000001</v>
      </c>
      <c r="F15" s="271"/>
      <c r="G15" s="270">
        <v>178.36</v>
      </c>
      <c r="H15" s="271"/>
      <c r="L15" s="34"/>
      <c r="M15" s="34"/>
    </row>
    <row r="16" spans="2:13" ht="12.75" customHeight="1" thickBot="1" x14ac:dyDescent="0.3">
      <c r="B16" s="244"/>
      <c r="C16" s="245"/>
      <c r="D16" s="246"/>
      <c r="E16" s="270"/>
      <c r="F16" s="271"/>
      <c r="G16" s="270"/>
      <c r="H16" s="271"/>
      <c r="L16" s="34"/>
    </row>
    <row r="17" spans="2:18" ht="16.5" customHeight="1" thickBot="1" x14ac:dyDescent="0.3">
      <c r="B17" s="279" t="s">
        <v>21</v>
      </c>
      <c r="C17" s="280"/>
      <c r="D17" s="281"/>
      <c r="E17" s="302">
        <f>SUM(E7:E16)</f>
        <v>712.25</v>
      </c>
      <c r="F17" s="303"/>
      <c r="G17" s="302">
        <f>SUM(G7:G16)</f>
        <v>947.29000000000008</v>
      </c>
      <c r="H17" s="307"/>
      <c r="J17"/>
      <c r="K17"/>
      <c r="L17"/>
      <c r="M17"/>
      <c r="N17"/>
      <c r="O17"/>
      <c r="P17"/>
      <c r="Q17"/>
      <c r="R17"/>
    </row>
    <row r="18" spans="2:18" ht="26.25" customHeight="1" thickBot="1" x14ac:dyDescent="0.3">
      <c r="B18" s="301" t="s">
        <v>106</v>
      </c>
      <c r="C18" s="301"/>
      <c r="D18" s="301"/>
      <c r="E18" s="301"/>
      <c r="F18" s="301"/>
      <c r="G18" s="301"/>
      <c r="H18" s="301"/>
      <c r="J18"/>
      <c r="K18"/>
      <c r="L18"/>
      <c r="M18"/>
      <c r="N18"/>
      <c r="O18"/>
      <c r="P18"/>
      <c r="Q18"/>
      <c r="R18"/>
    </row>
    <row r="19" spans="2:18" ht="27" customHeight="1" x14ac:dyDescent="0.25">
      <c r="B19" s="273" t="s">
        <v>20</v>
      </c>
      <c r="C19" s="274"/>
      <c r="D19" s="275"/>
      <c r="E19" s="267" t="s">
        <v>108</v>
      </c>
      <c r="F19" s="267"/>
      <c r="G19" s="267" t="s">
        <v>109</v>
      </c>
      <c r="H19" s="296"/>
      <c r="J19"/>
      <c r="K19"/>
      <c r="L19"/>
      <c r="M19"/>
      <c r="N19"/>
      <c r="O19"/>
      <c r="P19"/>
      <c r="Q19"/>
      <c r="R19"/>
    </row>
    <row r="20" spans="2:18" ht="15.75" customHeight="1" x14ac:dyDescent="0.25">
      <c r="B20" s="230" t="s">
        <v>126</v>
      </c>
      <c r="C20" s="231"/>
      <c r="D20" s="232"/>
      <c r="E20" s="268">
        <v>126.86</v>
      </c>
      <c r="F20" s="269"/>
      <c r="G20" s="268">
        <v>168.72</v>
      </c>
      <c r="H20" s="269"/>
      <c r="J20"/>
      <c r="K20"/>
      <c r="L20" s="35"/>
      <c r="M20" s="35"/>
      <c r="N20"/>
      <c r="O20"/>
      <c r="P20"/>
      <c r="Q20"/>
      <c r="R20"/>
    </row>
    <row r="21" spans="2:18" ht="15.75" customHeight="1" x14ac:dyDescent="0.25">
      <c r="B21" s="236" t="s">
        <v>127</v>
      </c>
      <c r="C21" s="237"/>
      <c r="D21" s="238"/>
      <c r="E21" s="265">
        <v>24</v>
      </c>
      <c r="F21" s="266"/>
      <c r="G21" s="265">
        <v>31.92</v>
      </c>
      <c r="H21" s="266"/>
      <c r="J21"/>
      <c r="K21"/>
      <c r="L21" s="35"/>
      <c r="M21" s="35"/>
      <c r="N21"/>
      <c r="O21"/>
      <c r="P21"/>
      <c r="Q21"/>
      <c r="R21"/>
    </row>
    <row r="22" spans="2:18" ht="15.75" customHeight="1" x14ac:dyDescent="0.25">
      <c r="B22" s="233" t="s">
        <v>53</v>
      </c>
      <c r="C22" s="234"/>
      <c r="D22" s="235"/>
      <c r="E22" s="270">
        <v>31.81</v>
      </c>
      <c r="F22" s="271"/>
      <c r="G22" s="270">
        <v>42.31</v>
      </c>
      <c r="H22" s="271"/>
      <c r="J22"/>
      <c r="K22"/>
      <c r="L22" s="35"/>
      <c r="M22" s="35"/>
      <c r="N22"/>
      <c r="O22"/>
      <c r="P22"/>
      <c r="Q22"/>
      <c r="R22"/>
    </row>
    <row r="23" spans="2:18" ht="15.75" customHeight="1" x14ac:dyDescent="0.25">
      <c r="B23" s="236" t="s">
        <v>28</v>
      </c>
      <c r="C23" s="239"/>
      <c r="D23" s="240"/>
      <c r="E23" s="265">
        <v>180.92</v>
      </c>
      <c r="F23" s="266"/>
      <c r="G23" s="265">
        <v>240.62</v>
      </c>
      <c r="H23" s="266"/>
      <c r="J23"/>
      <c r="K23"/>
      <c r="L23" s="35"/>
      <c r="M23" s="35"/>
      <c r="N23"/>
      <c r="O23"/>
      <c r="P23"/>
      <c r="Q23"/>
      <c r="R23"/>
    </row>
    <row r="24" spans="2:18" ht="15.75" customHeight="1" x14ac:dyDescent="0.25">
      <c r="B24" s="233" t="s">
        <v>29</v>
      </c>
      <c r="C24" s="234"/>
      <c r="D24" s="235"/>
      <c r="E24" s="270">
        <v>68.11</v>
      </c>
      <c r="F24" s="271"/>
      <c r="G24" s="270">
        <v>90.59</v>
      </c>
      <c r="H24" s="271"/>
      <c r="J24"/>
      <c r="K24"/>
      <c r="L24" s="35"/>
      <c r="M24" s="35"/>
      <c r="N24"/>
      <c r="O24"/>
      <c r="P24"/>
      <c r="Q24"/>
      <c r="R24"/>
    </row>
    <row r="25" spans="2:18" ht="15.75" customHeight="1" x14ac:dyDescent="0.25">
      <c r="B25" s="236" t="s">
        <v>128</v>
      </c>
      <c r="C25" s="237"/>
      <c r="D25" s="238"/>
      <c r="E25" s="265">
        <v>16</v>
      </c>
      <c r="F25" s="266"/>
      <c r="G25" s="265">
        <v>21.29</v>
      </c>
      <c r="H25" s="266"/>
      <c r="J25"/>
      <c r="K25"/>
      <c r="L25" s="35"/>
      <c r="M25" s="35"/>
      <c r="N25"/>
      <c r="O25"/>
      <c r="P25"/>
      <c r="Q25"/>
      <c r="R25"/>
    </row>
    <row r="26" spans="2:18" ht="15.75" customHeight="1" x14ac:dyDescent="0.25">
      <c r="B26" s="233" t="s">
        <v>30</v>
      </c>
      <c r="C26" s="234"/>
      <c r="D26" s="235"/>
      <c r="E26" s="270">
        <v>139.55000000000001</v>
      </c>
      <c r="F26" s="271"/>
      <c r="G26" s="270">
        <v>185.6</v>
      </c>
      <c r="H26" s="271"/>
      <c r="J26"/>
      <c r="K26"/>
      <c r="L26" s="35"/>
      <c r="M26" s="35"/>
      <c r="N26"/>
      <c r="O26"/>
      <c r="P26"/>
      <c r="Q26"/>
      <c r="R26"/>
    </row>
    <row r="27" spans="2:18" ht="15.75" customHeight="1" x14ac:dyDescent="0.25">
      <c r="B27" s="236" t="s">
        <v>31</v>
      </c>
      <c r="C27" s="239"/>
      <c r="D27" s="240"/>
      <c r="E27" s="265">
        <v>40.6</v>
      </c>
      <c r="F27" s="266"/>
      <c r="G27" s="265">
        <v>53.99</v>
      </c>
      <c r="H27" s="266"/>
      <c r="J27"/>
      <c r="K27"/>
      <c r="L27" s="35"/>
      <c r="M27" s="35"/>
      <c r="N27"/>
      <c r="O27"/>
      <c r="P27"/>
      <c r="Q27"/>
      <c r="R27"/>
    </row>
    <row r="28" spans="2:18" ht="16.5" customHeight="1" x14ac:dyDescent="0.25">
      <c r="B28" s="241" t="s">
        <v>129</v>
      </c>
      <c r="C28" s="242"/>
      <c r="D28" s="243"/>
      <c r="E28" s="270">
        <v>140.32</v>
      </c>
      <c r="F28" s="271"/>
      <c r="G28" s="270">
        <v>186.63</v>
      </c>
      <c r="H28" s="271"/>
      <c r="J28"/>
      <c r="K28"/>
      <c r="L28" s="35"/>
      <c r="M28" s="35"/>
      <c r="N28"/>
      <c r="O28"/>
      <c r="P28"/>
      <c r="Q28"/>
      <c r="R28"/>
    </row>
    <row r="29" spans="2:18" ht="13.8" thickBot="1" x14ac:dyDescent="0.3">
      <c r="B29" s="244"/>
      <c r="C29" s="245"/>
      <c r="D29" s="246"/>
      <c r="E29" s="270"/>
      <c r="F29" s="271"/>
      <c r="G29" s="270"/>
      <c r="H29" s="271"/>
      <c r="J29"/>
      <c r="K29"/>
      <c r="L29" s="35"/>
      <c r="M29" s="35"/>
      <c r="N29"/>
      <c r="O29"/>
      <c r="P29"/>
      <c r="Q29"/>
      <c r="R29"/>
    </row>
    <row r="30" spans="2:18" ht="16.5" customHeight="1" thickBot="1" x14ac:dyDescent="0.3">
      <c r="B30" s="276" t="s">
        <v>21</v>
      </c>
      <c r="C30" s="277"/>
      <c r="D30" s="278"/>
      <c r="E30" s="288">
        <f>SUM(E20:E29)</f>
        <v>768.17000000000007</v>
      </c>
      <c r="F30" s="288"/>
      <c r="G30" s="288">
        <f>SUM(G20:G29)</f>
        <v>1021.67</v>
      </c>
      <c r="H30" s="289"/>
      <c r="J30"/>
      <c r="K30"/>
      <c r="L30"/>
      <c r="M30" s="35"/>
      <c r="N30"/>
      <c r="O30"/>
      <c r="P30"/>
      <c r="Q30"/>
      <c r="R30"/>
    </row>
    <row r="31" spans="2:18" ht="26.25" customHeight="1" thickBot="1" x14ac:dyDescent="0.3">
      <c r="B31" s="301" t="s">
        <v>107</v>
      </c>
      <c r="C31" s="301"/>
      <c r="D31" s="301"/>
      <c r="E31" s="301"/>
      <c r="F31" s="301"/>
      <c r="G31" s="301"/>
      <c r="H31" s="301"/>
      <c r="L31"/>
      <c r="M31" s="35"/>
      <c r="N31"/>
      <c r="O31"/>
      <c r="P31"/>
      <c r="Q31"/>
      <c r="R31"/>
    </row>
    <row r="32" spans="2:18" ht="27" customHeight="1" x14ac:dyDescent="0.25">
      <c r="B32" s="282" t="s">
        <v>20</v>
      </c>
      <c r="C32" s="283"/>
      <c r="D32" s="284"/>
      <c r="E32" s="267" t="s">
        <v>108</v>
      </c>
      <c r="F32" s="267"/>
      <c r="G32" s="267" t="s">
        <v>109</v>
      </c>
      <c r="H32" s="296"/>
      <c r="L32"/>
      <c r="M32" s="35"/>
      <c r="N32"/>
      <c r="O32"/>
      <c r="P32"/>
      <c r="Q32"/>
      <c r="R32"/>
    </row>
    <row r="33" spans="2:13" ht="15.75" customHeight="1" x14ac:dyDescent="0.25">
      <c r="B33" s="233" t="s">
        <v>126</v>
      </c>
      <c r="C33" s="234"/>
      <c r="D33" s="235"/>
      <c r="E33" s="268">
        <v>121.56</v>
      </c>
      <c r="F33" s="269"/>
      <c r="G33" s="268">
        <v>161.68</v>
      </c>
      <c r="H33" s="269"/>
      <c r="L33" s="34"/>
      <c r="M33" s="35"/>
    </row>
    <row r="34" spans="2:13" ht="15.75" customHeight="1" x14ac:dyDescent="0.25">
      <c r="B34" s="236" t="s">
        <v>127</v>
      </c>
      <c r="C34" s="237"/>
      <c r="D34" s="238"/>
      <c r="E34" s="265">
        <v>16.7</v>
      </c>
      <c r="F34" s="266"/>
      <c r="G34" s="265">
        <v>22.21</v>
      </c>
      <c r="H34" s="266"/>
      <c r="L34" s="34"/>
      <c r="M34" s="35"/>
    </row>
    <row r="35" spans="2:13" ht="15.75" customHeight="1" x14ac:dyDescent="0.25">
      <c r="B35" s="233" t="s">
        <v>53</v>
      </c>
      <c r="C35" s="234"/>
      <c r="D35" s="235"/>
      <c r="E35" s="270">
        <v>33.4</v>
      </c>
      <c r="F35" s="271"/>
      <c r="G35" s="270">
        <v>44.42</v>
      </c>
      <c r="H35" s="271"/>
      <c r="L35" s="34"/>
      <c r="M35" s="35"/>
    </row>
    <row r="36" spans="2:13" ht="15.75" customHeight="1" x14ac:dyDescent="0.25">
      <c r="B36" s="236" t="s">
        <v>28</v>
      </c>
      <c r="C36" s="239"/>
      <c r="D36" s="240"/>
      <c r="E36" s="265">
        <v>274.01</v>
      </c>
      <c r="F36" s="266"/>
      <c r="G36" s="265">
        <v>364.43</v>
      </c>
      <c r="H36" s="266"/>
      <c r="K36" s="34"/>
      <c r="L36" s="34"/>
      <c r="M36" s="35"/>
    </row>
    <row r="37" spans="2:13" ht="15.75" customHeight="1" x14ac:dyDescent="0.25">
      <c r="B37" s="233" t="s">
        <v>29</v>
      </c>
      <c r="C37" s="234"/>
      <c r="D37" s="235"/>
      <c r="E37" s="270">
        <v>61.95</v>
      </c>
      <c r="F37" s="271"/>
      <c r="G37" s="270">
        <v>82.39</v>
      </c>
      <c r="H37" s="271"/>
      <c r="L37" s="34"/>
      <c r="M37" s="35"/>
    </row>
    <row r="38" spans="2:13" ht="15.75" customHeight="1" x14ac:dyDescent="0.25">
      <c r="B38" s="236" t="s">
        <v>128</v>
      </c>
      <c r="C38" s="237"/>
      <c r="D38" s="238"/>
      <c r="E38" s="265">
        <v>14.72</v>
      </c>
      <c r="F38" s="266"/>
      <c r="G38" s="265">
        <v>19.579999999999998</v>
      </c>
      <c r="H38" s="266"/>
      <c r="L38" s="34"/>
      <c r="M38" s="35"/>
    </row>
    <row r="39" spans="2:13" ht="15.75" customHeight="1" x14ac:dyDescent="0.25">
      <c r="B39" s="233" t="s">
        <v>30</v>
      </c>
      <c r="C39" s="234"/>
      <c r="D39" s="235"/>
      <c r="E39" s="270">
        <v>107.56</v>
      </c>
      <c r="F39" s="271"/>
      <c r="G39" s="270">
        <v>143.05000000000001</v>
      </c>
      <c r="H39" s="271"/>
      <c r="L39" s="34"/>
      <c r="M39" s="35"/>
    </row>
    <row r="40" spans="2:13" ht="15.75" customHeight="1" x14ac:dyDescent="0.25">
      <c r="B40" s="236" t="s">
        <v>31</v>
      </c>
      <c r="C40" s="239"/>
      <c r="D40" s="240"/>
      <c r="E40" s="265">
        <v>36.99</v>
      </c>
      <c r="F40" s="266"/>
      <c r="G40" s="265">
        <v>49.2</v>
      </c>
      <c r="H40" s="266"/>
      <c r="L40" s="34"/>
      <c r="M40" s="35"/>
    </row>
    <row r="41" spans="2:13" ht="16.5" customHeight="1" x14ac:dyDescent="0.25">
      <c r="B41" s="241" t="s">
        <v>129</v>
      </c>
      <c r="C41" s="242"/>
      <c r="D41" s="243"/>
      <c r="E41" s="270">
        <v>148.85</v>
      </c>
      <c r="F41" s="271"/>
      <c r="G41" s="270">
        <v>197.97</v>
      </c>
      <c r="H41" s="271"/>
      <c r="L41" s="34"/>
      <c r="M41" s="35"/>
    </row>
    <row r="42" spans="2:13" ht="13.8" thickBot="1" x14ac:dyDescent="0.3">
      <c r="B42" s="244"/>
      <c r="C42" s="245"/>
      <c r="D42" s="246"/>
      <c r="E42" s="270"/>
      <c r="F42" s="271"/>
      <c r="G42" s="270"/>
      <c r="H42" s="271"/>
    </row>
    <row r="43" spans="2:13" ht="16.5" customHeight="1" thickBot="1" x14ac:dyDescent="0.3">
      <c r="B43" s="276" t="s">
        <v>21</v>
      </c>
      <c r="C43" s="277"/>
      <c r="D43" s="278"/>
      <c r="E43" s="288">
        <f>SUM(E33:E42)</f>
        <v>815.7399999999999</v>
      </c>
      <c r="F43" s="288"/>
      <c r="G43" s="288">
        <f>SUM(G33:G42)</f>
        <v>1084.93</v>
      </c>
      <c r="H43" s="289"/>
    </row>
    <row r="44" spans="2:13" ht="18.75" customHeight="1" x14ac:dyDescent="0.25">
      <c r="B44" s="306"/>
      <c r="C44" s="306"/>
      <c r="D44" s="306"/>
      <c r="E44" s="306"/>
      <c r="F44" s="306"/>
      <c r="G44" s="306"/>
      <c r="H44" s="306"/>
    </row>
    <row r="45" spans="2:13" ht="18" customHeight="1" x14ac:dyDescent="0.25">
      <c r="B45" s="272" t="s">
        <v>41</v>
      </c>
      <c r="C45" s="272"/>
      <c r="D45" s="272"/>
      <c r="E45" s="272"/>
      <c r="F45" s="272"/>
      <c r="G45" s="272"/>
      <c r="H45" s="272"/>
    </row>
    <row r="46" spans="2:13" ht="13.2" customHeight="1" thickBot="1" x14ac:dyDescent="0.3">
      <c r="B46" s="300" t="s">
        <v>111</v>
      </c>
      <c r="C46" s="300"/>
      <c r="D46" s="300"/>
      <c r="E46" s="300"/>
      <c r="F46" s="300"/>
      <c r="G46" s="300"/>
      <c r="H46" s="300"/>
    </row>
    <row r="47" spans="2:13" ht="30" customHeight="1" x14ac:dyDescent="0.25">
      <c r="B47" s="254" t="s">
        <v>60</v>
      </c>
      <c r="C47" s="255"/>
      <c r="D47" s="256"/>
      <c r="E47" s="267" t="s">
        <v>108</v>
      </c>
      <c r="F47" s="267"/>
      <c r="G47" s="267" t="s">
        <v>109</v>
      </c>
      <c r="H47" s="296"/>
      <c r="I47"/>
      <c r="J47"/>
      <c r="K47"/>
    </row>
    <row r="48" spans="2:13" ht="15.75" customHeight="1" x14ac:dyDescent="0.25">
      <c r="B48" s="230" t="s">
        <v>112</v>
      </c>
      <c r="C48" s="231"/>
      <c r="D48" s="232"/>
      <c r="E48" s="297">
        <v>88.28</v>
      </c>
      <c r="F48" s="298"/>
      <c r="G48" s="294">
        <v>117.42</v>
      </c>
      <c r="H48" s="295"/>
      <c r="I48"/>
      <c r="J48"/>
      <c r="K48"/>
      <c r="L48" s="34"/>
    </row>
    <row r="49" spans="2:12" ht="15.75" customHeight="1" x14ac:dyDescent="0.25">
      <c r="B49" s="236" t="s">
        <v>113</v>
      </c>
      <c r="C49" s="239"/>
      <c r="D49" s="240"/>
      <c r="E49" s="292">
        <v>99.92</v>
      </c>
      <c r="F49" s="299"/>
      <c r="G49" s="292">
        <v>132.9</v>
      </c>
      <c r="H49" s="293"/>
      <c r="I49"/>
      <c r="J49"/>
      <c r="K49"/>
      <c r="L49" s="34"/>
    </row>
    <row r="50" spans="2:12" ht="15.75" customHeight="1" thickBot="1" x14ac:dyDescent="0.3">
      <c r="B50" s="260" t="s">
        <v>114</v>
      </c>
      <c r="C50" s="261"/>
      <c r="D50" s="262"/>
      <c r="E50" s="263">
        <v>110.43</v>
      </c>
      <c r="F50" s="264"/>
      <c r="G50" s="290">
        <v>146.87</v>
      </c>
      <c r="H50" s="291"/>
      <c r="I50"/>
      <c r="J50"/>
      <c r="K50"/>
      <c r="L50" s="34"/>
    </row>
    <row r="51" spans="2:12" ht="15.75" customHeight="1" x14ac:dyDescent="0.25">
      <c r="B51"/>
      <c r="C51"/>
      <c r="D51"/>
      <c r="E51"/>
      <c r="F51"/>
      <c r="G51"/>
      <c r="H51"/>
      <c r="I51"/>
      <c r="J51"/>
      <c r="K51"/>
      <c r="L51" s="34"/>
    </row>
    <row r="52" spans="2:12" ht="30" customHeight="1" x14ac:dyDescent="0.25">
      <c r="B52" s="257" t="s">
        <v>22</v>
      </c>
      <c r="C52" s="258"/>
      <c r="D52" s="259"/>
      <c r="E52" s="247" t="s">
        <v>54</v>
      </c>
      <c r="F52" s="248"/>
      <c r="G52"/>
      <c r="H52"/>
    </row>
    <row r="53" spans="2:12" ht="36.75" customHeight="1" x14ac:dyDescent="0.25">
      <c r="B53" s="251" t="s">
        <v>23</v>
      </c>
      <c r="C53" s="252"/>
      <c r="D53" s="253"/>
      <c r="E53" s="249">
        <f>Parameters!C35</f>
        <v>0</v>
      </c>
      <c r="F53" s="250"/>
      <c r="G53"/>
      <c r="H53" s="35"/>
    </row>
    <row r="56" spans="2:12" ht="20.25" customHeight="1" x14ac:dyDescent="0.25">
      <c r="B56" s="286" t="s">
        <v>158</v>
      </c>
      <c r="C56" s="287"/>
      <c r="D56" s="287"/>
      <c r="E56" s="287"/>
      <c r="F56" s="287"/>
      <c r="G56" s="287"/>
      <c r="H56" s="13" t="s">
        <v>50</v>
      </c>
    </row>
    <row r="58" spans="2:12" ht="24.75" customHeight="1" x14ac:dyDescent="0.25">
      <c r="B58" s="286" t="s">
        <v>157</v>
      </c>
      <c r="C58" s="287"/>
      <c r="D58" s="287"/>
      <c r="E58" s="287"/>
      <c r="F58" s="287"/>
      <c r="G58" s="287"/>
      <c r="H58" s="13" t="s">
        <v>50</v>
      </c>
    </row>
  </sheetData>
  <sheetProtection algorithmName="SHA-512" hashValue="kMu1t6GBG49hme/6Lw570hdsT6FmYST1Tpoci6SOVxD8H0ulW7hQW+VivYsPVqktFTS4mZ7o85QdLd7qi0Wp9A==" saltValue="D9TlaANrI+ntOYOBkwRBBw=="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6"/>
  <sheetViews>
    <sheetView topLeftCell="A17" workbookViewId="0">
      <selection activeCell="B34" sqref="B34"/>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0.01</v>
      </c>
      <c r="H2" s="87" t="s">
        <v>190</v>
      </c>
    </row>
    <row r="3" spans="2:11" x14ac:dyDescent="0.25">
      <c r="B3" s="2" t="s">
        <v>18</v>
      </c>
      <c r="C3" s="68"/>
      <c r="E3" s="2" t="str">
        <f>"SVR + " &amp;  F2*100 &amp; "%"</f>
        <v>SVR + 1%</v>
      </c>
      <c r="F3" s="29">
        <f>SVR+F2</f>
        <v>9.1399999999999995E-2</v>
      </c>
    </row>
    <row r="4" spans="2:11" x14ac:dyDescent="0.25">
      <c r="B4" s="2" t="s">
        <v>59</v>
      </c>
      <c r="C4" s="68">
        <f>IF(M25YorN="M25", IF(TA=1,QolSingleM25,IF(TA&gt;=2,QoLJointM25,0)),IF(M25YorN="West Midlands",IF(TA=1,QoLSingleWM,IF(TA&gt;=2,QoLJointWM,0)),IF(QoLSingleOutsideM25,IF(TA&gt;=2,QoLJointOutsideM25,0))))</f>
        <v>0</v>
      </c>
      <c r="E4" s="2" t="s">
        <v>58</v>
      </c>
      <c r="F4" s="3">
        <v>0.03</v>
      </c>
    </row>
    <row r="5" spans="2:11" x14ac:dyDescent="0.25">
      <c r="B5" s="2" t="s">
        <v>4</v>
      </c>
      <c r="C5" s="138" t="str">
        <f>IF(RepaymentType = "Repayment", "R","I")</f>
        <v>I</v>
      </c>
      <c r="E5" s="2" t="str">
        <f>"SVR + " &amp;  F4*100 &amp; "%"</f>
        <v>SVR + 3%</v>
      </c>
      <c r="F5" s="29">
        <f>InterestRate+F4</f>
        <v>0.09</v>
      </c>
    </row>
    <row r="6" spans="2:11" x14ac:dyDescent="0.25">
      <c r="B6" s="2" t="s">
        <v>1</v>
      </c>
      <c r="C6" s="61">
        <f>InterestRate</f>
        <v>0.06</v>
      </c>
      <c r="E6" s="6"/>
      <c r="F6" s="1"/>
    </row>
    <row r="7" spans="2:11" ht="13.8" thickBot="1" x14ac:dyDescent="0.3">
      <c r="B7" s="6"/>
      <c r="C7" s="1"/>
      <c r="E7" s="5" t="s">
        <v>57</v>
      </c>
      <c r="F7" s="67">
        <f>F3</f>
        <v>9.1399999999999995E-2</v>
      </c>
      <c r="G7" s="107" t="s">
        <v>142</v>
      </c>
    </row>
    <row r="8" spans="2:11" x14ac:dyDescent="0.25">
      <c r="B8" s="2" t="s">
        <v>56</v>
      </c>
      <c r="C8" s="62">
        <f>F7</f>
        <v>9.1399999999999995E-2</v>
      </c>
    </row>
    <row r="9" spans="2:11" ht="13.8" thickBot="1" x14ac:dyDescent="0.3">
      <c r="B9" s="2" t="s">
        <v>2</v>
      </c>
      <c r="C9" s="63">
        <f>LoanAmount</f>
        <v>0</v>
      </c>
    </row>
    <row r="10" spans="2:11" ht="13.8" thickBot="1" x14ac:dyDescent="0.3">
      <c r="B10" s="2" t="s">
        <v>7</v>
      </c>
      <c r="C10" s="64">
        <f>Years</f>
        <v>0</v>
      </c>
      <c r="E10" s="89" t="s">
        <v>134</v>
      </c>
      <c r="F10" s="12">
        <f>Stressed_Rate/12</f>
        <v>7.6166666666666666E-3</v>
      </c>
      <c r="H10" s="308" t="s">
        <v>170</v>
      </c>
      <c r="I10" s="309"/>
      <c r="K10" s="59"/>
    </row>
    <row r="11" spans="2:11" x14ac:dyDescent="0.25">
      <c r="B11" s="2" t="s">
        <v>8</v>
      </c>
      <c r="C11" s="69">
        <f>Months</f>
        <v>0</v>
      </c>
      <c r="E11" s="90" t="s">
        <v>135</v>
      </c>
      <c r="F11" s="1">
        <f>T</f>
        <v>0</v>
      </c>
      <c r="G11" s="147"/>
      <c r="H11" s="310">
        <v>15000</v>
      </c>
      <c r="I11" s="311"/>
      <c r="J11" t="s">
        <v>169</v>
      </c>
    </row>
    <row r="12" spans="2:11" x14ac:dyDescent="0.25">
      <c r="B12" s="2" t="s">
        <v>0</v>
      </c>
      <c r="C12" s="65">
        <f>SUM(Month+Year*12)</f>
        <v>0</v>
      </c>
      <c r="E12" s="90" t="s">
        <v>173</v>
      </c>
      <c r="F12" s="1"/>
      <c r="G12" s="6">
        <f>TotalDisposableIncome</f>
        <v>0</v>
      </c>
      <c r="H12" s="153"/>
      <c r="I12" s="95"/>
      <c r="J12" t="s">
        <v>146</v>
      </c>
    </row>
    <row r="13" spans="2:11" ht="13.8" thickBot="1" x14ac:dyDescent="0.3">
      <c r="B13" s="2" t="s">
        <v>15</v>
      </c>
      <c r="C13" s="65">
        <f>_Age1</f>
        <v>0</v>
      </c>
      <c r="E13" s="90" t="s">
        <v>136</v>
      </c>
      <c r="F13" s="95">
        <f>-C42</f>
        <v>0</v>
      </c>
      <c r="G13" s="150">
        <f>F13-G12</f>
        <v>0</v>
      </c>
      <c r="H13" s="154"/>
      <c r="I13" s="127"/>
      <c r="J13" t="s">
        <v>174</v>
      </c>
    </row>
    <row r="14" spans="2:11" ht="13.8" thickBot="1" x14ac:dyDescent="0.3">
      <c r="B14" s="2" t="s">
        <v>16</v>
      </c>
      <c r="C14" s="65">
        <f>C13*40</f>
        <v>0</v>
      </c>
      <c r="E14" s="91"/>
      <c r="F14" s="149" t="s">
        <v>171</v>
      </c>
      <c r="G14" s="148" t="s">
        <v>172</v>
      </c>
      <c r="H14" s="151" t="s">
        <v>171</v>
      </c>
      <c r="I14" s="152" t="s">
        <v>172</v>
      </c>
    </row>
    <row r="15" spans="2:11" ht="13.8" thickBot="1" x14ac:dyDescent="0.3">
      <c r="B15" s="2" t="s">
        <v>17</v>
      </c>
      <c r="C15" s="65">
        <f>_Age2</f>
        <v>0</v>
      </c>
      <c r="E15" s="92" t="s">
        <v>137</v>
      </c>
      <c r="F15" s="130">
        <f>(PV(F10,F11,F13))</f>
        <v>0</v>
      </c>
      <c r="G15" s="146">
        <f>(PV(F10,F11,G13))</f>
        <v>0</v>
      </c>
      <c r="H15" s="93">
        <f>(PV(F10,H11,F13))</f>
        <v>0</v>
      </c>
      <c r="I15" s="146">
        <f>(PV(F10,H11,G13))</f>
        <v>0</v>
      </c>
      <c r="J15" t="s">
        <v>147</v>
      </c>
    </row>
    <row r="16" spans="2:11" ht="13.8" thickBot="1" x14ac:dyDescent="0.3">
      <c r="B16" s="2" t="s">
        <v>16</v>
      </c>
      <c r="C16" s="63">
        <f>C15*60</f>
        <v>0</v>
      </c>
      <c r="E16" s="94" t="s">
        <v>138</v>
      </c>
      <c r="F16" s="155">
        <f>ROUNDDOWN((PV(F10,F11,F13)),-2)</f>
        <v>0</v>
      </c>
      <c r="G16" s="155">
        <f>ROUNDDOWN((PV(F10,F11,G13)),-2)</f>
        <v>0</v>
      </c>
      <c r="H16" s="156">
        <f>ROUNDDOWN((PV(F10,H11,F13)),-2)</f>
        <v>0</v>
      </c>
      <c r="I16" s="157">
        <f>ROUNDDOWN((PV(F10,H11,G13)),-2)</f>
        <v>0</v>
      </c>
      <c r="J16" t="s">
        <v>148</v>
      </c>
    </row>
    <row r="17" spans="2:10" ht="13.8" thickBot="1" x14ac:dyDescent="0.3">
      <c r="B17" s="5" t="s">
        <v>45</v>
      </c>
      <c r="C17" s="105">
        <f>I31</f>
        <v>0</v>
      </c>
      <c r="D17" s="22"/>
    </row>
    <row r="18" spans="2:10" ht="13.8" thickBot="1" x14ac:dyDescent="0.3">
      <c r="B18" s="9"/>
      <c r="F18" s="159" t="s">
        <v>167</v>
      </c>
      <c r="G18" s="158" t="s">
        <v>168</v>
      </c>
    </row>
    <row r="19" spans="2:10" ht="13.8" thickBot="1" x14ac:dyDescent="0.3">
      <c r="B19" s="327" t="s">
        <v>6</v>
      </c>
      <c r="C19" s="328"/>
      <c r="E19" s="94" t="s">
        <v>143</v>
      </c>
      <c r="F19" s="160">
        <f>IF(DisposableIncomePercentage&gt;=0, F16, G16)</f>
        <v>0</v>
      </c>
      <c r="G19" s="160">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280</v>
      </c>
      <c r="I23" s="77">
        <v>560</v>
      </c>
      <c r="J23" s="59"/>
    </row>
    <row r="24" spans="2:10" ht="13.8" thickBot="1" x14ac:dyDescent="0.3">
      <c r="B24" s="21" t="s">
        <v>5</v>
      </c>
      <c r="C24" s="66">
        <f>IF(C5="I",C22,(IF(C5="R",C21,"")))</f>
        <v>0</v>
      </c>
      <c r="E24" s="81" t="s">
        <v>102</v>
      </c>
      <c r="F24" s="70">
        <f>SingleHouseholdInsideWM+Expenses!E48</f>
        <v>800.53</v>
      </c>
      <c r="G24" s="70">
        <f>Expenses!G17+Expenses!G48</f>
        <v>1064.71</v>
      </c>
      <c r="H24" s="70">
        <f>G24+H23</f>
        <v>1344.71</v>
      </c>
      <c r="I24" s="71">
        <f>G24+I23</f>
        <v>1624.71</v>
      </c>
      <c r="J24" s="59"/>
    </row>
    <row r="25" spans="2:10" ht="13.8" thickBot="1" x14ac:dyDescent="0.3">
      <c r="B25" s="9"/>
      <c r="C25" s="10"/>
      <c r="E25" s="78" t="s">
        <v>115</v>
      </c>
      <c r="F25" s="54"/>
      <c r="G25" s="79"/>
      <c r="H25" s="79">
        <v>302</v>
      </c>
      <c r="I25" s="80">
        <v>604</v>
      </c>
      <c r="J25" s="59"/>
    </row>
    <row r="26" spans="2:10" ht="13.8" thickBot="1" x14ac:dyDescent="0.3">
      <c r="B26" s="327" t="str">
        <f>"Extra " &amp; F2*100 &amp; "% SVR"</f>
        <v>Extra 1% SVR</v>
      </c>
      <c r="C26" s="328"/>
      <c r="E26" s="81" t="s">
        <v>113</v>
      </c>
      <c r="F26" s="70">
        <f>SingleHouseholdOutsideM25+Expenses!E49</f>
        <v>868.09</v>
      </c>
      <c r="G26" s="70">
        <f>JointHouseholdOutsideM25+Expenses!G49</f>
        <v>1154.57</v>
      </c>
      <c r="H26" s="70">
        <f>G26+H25</f>
        <v>1456.57</v>
      </c>
      <c r="I26" s="71">
        <f>G26+I25</f>
        <v>1758.57</v>
      </c>
    </row>
    <row r="27" spans="2:10" x14ac:dyDescent="0.25">
      <c r="B27" s="2"/>
      <c r="C27" s="4"/>
      <c r="E27" s="78" t="s">
        <v>115</v>
      </c>
      <c r="F27" s="54"/>
      <c r="G27" s="79"/>
      <c r="H27" s="79">
        <v>306</v>
      </c>
      <c r="I27" s="80">
        <v>612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1537.8000000000002</v>
      </c>
      <c r="I28" s="73">
        <f>G28+I27</f>
        <v>1843.8000000000002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18"/>
      <c r="F31" s="319"/>
      <c r="G31" s="320"/>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29" t="s">
        <v>24</v>
      </c>
      <c r="C33" s="330"/>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3" t="s">
        <v>179</v>
      </c>
      <c r="H37" s="164" t="s">
        <v>177</v>
      </c>
    </row>
    <row r="38" spans="2:9" ht="15" thickBot="1" x14ac:dyDescent="0.3">
      <c r="B38" s="87" t="s">
        <v>130</v>
      </c>
      <c r="E38" s="133" t="s">
        <v>133</v>
      </c>
      <c r="F38" s="139" t="s">
        <v>152</v>
      </c>
      <c r="H38" s="133" t="s">
        <v>133</v>
      </c>
      <c r="I38" s="139" t="s">
        <v>152</v>
      </c>
    </row>
    <row r="39" spans="2:9" ht="15" thickBot="1" x14ac:dyDescent="0.3">
      <c r="B39" s="108" t="s">
        <v>32</v>
      </c>
      <c r="C39" s="109">
        <f>Income</f>
        <v>0</v>
      </c>
      <c r="E39" s="134">
        <v>0.95</v>
      </c>
      <c r="F39" s="135">
        <v>400000</v>
      </c>
      <c r="H39" s="134">
        <v>0.95</v>
      </c>
      <c r="I39" s="135">
        <v>0</v>
      </c>
    </row>
    <row r="40" spans="2:9" ht="15" thickBot="1" x14ac:dyDescent="0.3">
      <c r="B40" s="110" t="s">
        <v>34</v>
      </c>
      <c r="C40" s="111"/>
      <c r="E40" s="134">
        <v>0.9</v>
      </c>
      <c r="F40" s="135">
        <v>450000</v>
      </c>
      <c r="H40" s="134">
        <v>0.9</v>
      </c>
      <c r="I40" s="135">
        <v>0</v>
      </c>
    </row>
    <row r="41" spans="2:9" ht="15" thickBot="1" x14ac:dyDescent="0.3">
      <c r="B41" s="112" t="s">
        <v>35</v>
      </c>
      <c r="C41" s="113">
        <f>Commitments</f>
        <v>0</v>
      </c>
      <c r="E41" s="134">
        <v>0.85</v>
      </c>
      <c r="F41" s="135">
        <v>500000</v>
      </c>
      <c r="H41" s="134">
        <v>0.85</v>
      </c>
      <c r="I41" s="135">
        <v>0</v>
      </c>
    </row>
    <row r="42" spans="2:9" ht="15" thickBot="1" x14ac:dyDescent="0.3">
      <c r="B42" s="112" t="s">
        <v>46</v>
      </c>
      <c r="C42" s="114">
        <f>IF(NMRStressed&gt;0,Parameters!C31,0)</f>
        <v>0</v>
      </c>
      <c r="E42" s="134">
        <v>0.8</v>
      </c>
      <c r="F42" s="136">
        <v>600000</v>
      </c>
      <c r="H42" s="134">
        <v>0.8</v>
      </c>
      <c r="I42" s="135">
        <v>0</v>
      </c>
    </row>
    <row r="43" spans="2:9" ht="27" thickBot="1" x14ac:dyDescent="0.3">
      <c r="B43" s="115" t="s">
        <v>36</v>
      </c>
      <c r="C43" s="114">
        <f>CAge1</f>
        <v>0</v>
      </c>
      <c r="E43" s="134">
        <v>0.75</v>
      </c>
      <c r="F43" s="135">
        <v>1000000</v>
      </c>
      <c r="H43" s="134">
        <v>0.75</v>
      </c>
      <c r="I43" s="135">
        <v>1000000</v>
      </c>
    </row>
    <row r="44" spans="2:9" ht="15" thickBot="1" x14ac:dyDescent="0.3">
      <c r="B44" s="116" t="s">
        <v>37</v>
      </c>
      <c r="C44" s="114">
        <f>CAge2</f>
        <v>0</v>
      </c>
      <c r="E44" s="134">
        <v>0.6</v>
      </c>
      <c r="F44" s="137" t="s">
        <v>153</v>
      </c>
      <c r="H44" s="134">
        <v>0.6</v>
      </c>
      <c r="I44" s="137" t="s">
        <v>153</v>
      </c>
    </row>
    <row r="45" spans="2:9" ht="40.200000000000003" thickBot="1" x14ac:dyDescent="0.3">
      <c r="B45" s="117" t="s">
        <v>110</v>
      </c>
      <c r="C45" s="118">
        <f>BEE_QoLCosts</f>
        <v>0</v>
      </c>
      <c r="E45" s="87" t="s">
        <v>133</v>
      </c>
      <c r="F45" s="131">
        <f>Main!E26</f>
        <v>0</v>
      </c>
    </row>
    <row r="46" spans="2:9" ht="13.8" thickBot="1" x14ac:dyDescent="0.3">
      <c r="B46" s="121"/>
      <c r="C46" s="122"/>
      <c r="E46" s="162" t="s">
        <v>151</v>
      </c>
      <c r="F46" s="132">
        <f>IF(F45&gt;E39, F39, IF(F45&gt;E40, F39, IF(F45&gt;E41, F40, IF(F45&gt;E42, F41, IF(F45&gt;E43, F42, F43)))))</f>
        <v>1000000</v>
      </c>
      <c r="H46" s="161" t="s">
        <v>178</v>
      </c>
      <c r="I46" s="132">
        <f>IF(F45&gt;H39, I39, IF(F45&gt;H40, I39, IF(F45&gt;H41, I40, IF(F45&gt;H42, I41, IF(F45&gt;H43, I42, I43)))))</f>
        <v>1000000</v>
      </c>
    </row>
    <row r="47" spans="2:9" ht="13.05" customHeight="1" thickBot="1" x14ac:dyDescent="0.3">
      <c r="B47" s="119" t="s">
        <v>39</v>
      </c>
      <c r="C47" s="120">
        <f>IF(TotalMonthlyIncome&gt;0,TotalMonthlyIncome-SUM(C41:C45),0)</f>
        <v>0</v>
      </c>
      <c r="E47" s="87"/>
    </row>
    <row r="48" spans="2:9" ht="13.8" thickBot="1" x14ac:dyDescent="0.3">
      <c r="E48" s="87"/>
    </row>
    <row r="49" spans="2:6" ht="12.45" customHeight="1" x14ac:dyDescent="0.25">
      <c r="B49" s="321" t="s">
        <v>139</v>
      </c>
      <c r="C49" s="322"/>
    </row>
    <row r="50" spans="2:6" ht="14.4" x14ac:dyDescent="0.25">
      <c r="B50" s="323">
        <f>CombinedIncome*4.49</f>
        <v>0</v>
      </c>
      <c r="C50" s="324"/>
    </row>
    <row r="51" spans="2:6" ht="12.45" customHeight="1" x14ac:dyDescent="0.25">
      <c r="B51" s="331" t="s">
        <v>140</v>
      </c>
      <c r="C51" s="332"/>
    </row>
    <row r="52" spans="2:6" ht="12.45" customHeight="1" x14ac:dyDescent="0.25">
      <c r="B52" s="325">
        <f>IF(C5="R",F19, IF(C5="I",G19))</f>
        <v>0</v>
      </c>
      <c r="C52" s="326"/>
      <c r="D52" t="s">
        <v>175</v>
      </c>
    </row>
    <row r="53" spans="2:6" x14ac:dyDescent="0.25">
      <c r="B53" s="333" t="s">
        <v>144</v>
      </c>
      <c r="C53" s="334"/>
    </row>
    <row r="54" spans="2:6" ht="13.8" thickBot="1" x14ac:dyDescent="0.3">
      <c r="B54" s="335">
        <v>50000</v>
      </c>
      <c r="C54" s="336"/>
    </row>
    <row r="55" spans="2:6" x14ac:dyDescent="0.25">
      <c r="B55" s="359" t="s">
        <v>149</v>
      </c>
      <c r="C55" s="360"/>
      <c r="E55" s="314" t="s">
        <v>155</v>
      </c>
      <c r="F55" s="315"/>
    </row>
    <row r="56" spans="2:6" ht="13.8" thickBot="1" x14ac:dyDescent="0.3">
      <c r="B56" s="312">
        <f>IF(C5="R",F46, IF(C5="I",I46))</f>
        <v>1000000</v>
      </c>
      <c r="C56" s="313"/>
      <c r="E56" s="316">
        <f>IF(MaxLoanMult&lt;B56,MaxLoanMult,B56)</f>
        <v>0</v>
      </c>
      <c r="F56" s="317"/>
    </row>
    <row r="57" spans="2:6" x14ac:dyDescent="0.25">
      <c r="B57" s="142" t="s">
        <v>163</v>
      </c>
      <c r="C57" s="97"/>
    </row>
    <row r="58" spans="2:6" ht="13.8" thickBot="1" x14ac:dyDescent="0.3">
      <c r="B58" s="361">
        <f>IF(C5="R",G16, IF(C5="I",I16))</f>
        <v>0</v>
      </c>
      <c r="C58" s="362"/>
      <c r="D58" t="s">
        <v>175</v>
      </c>
    </row>
    <row r="59" spans="2:6" ht="13.8" thickBot="1" x14ac:dyDescent="0.3"/>
    <row r="60" spans="2:6" x14ac:dyDescent="0.25">
      <c r="B60" s="352" t="s">
        <v>141</v>
      </c>
      <c r="C60" s="353"/>
      <c r="E60" s="340" t="s">
        <v>180</v>
      </c>
      <c r="F60" s="341"/>
    </row>
    <row r="61" spans="2:6" ht="13.8" thickBot="1" x14ac:dyDescent="0.3">
      <c r="B61" s="342">
        <f>IF(MaxLoanMult&lt;=MaxLoanStress,MaxLoanMult, MaxLoanStress)</f>
        <v>0</v>
      </c>
      <c r="C61" s="343"/>
      <c r="E61" s="342">
        <f>IF(MaxLoanMult&lt;=B58,MaxLoanMult, B58)</f>
        <v>0</v>
      </c>
      <c r="F61" s="343"/>
    </row>
    <row r="62" spans="2:6" x14ac:dyDescent="0.25">
      <c r="B62" s="348" t="s">
        <v>145</v>
      </c>
      <c r="C62" s="349"/>
      <c r="E62" s="344" t="s">
        <v>181</v>
      </c>
      <c r="F62" s="345"/>
    </row>
    <row r="63" spans="2:6" ht="13.8" thickBot="1" x14ac:dyDescent="0.3">
      <c r="B63" s="346">
        <f>IF(B61&gt;B54, B61,B54)</f>
        <v>50000</v>
      </c>
      <c r="C63" s="347"/>
      <c r="E63" s="346">
        <f>IF(E61&gt;B54, E61,B54)</f>
        <v>50000</v>
      </c>
      <c r="F63" s="347"/>
    </row>
    <row r="64" spans="2:6" x14ac:dyDescent="0.25">
      <c r="B64" s="350" t="s">
        <v>150</v>
      </c>
      <c r="C64" s="351"/>
      <c r="E64" s="340" t="s">
        <v>182</v>
      </c>
      <c r="F64" s="341"/>
    </row>
    <row r="65" spans="2:6" ht="13.8" thickBot="1" x14ac:dyDescent="0.3">
      <c r="B65" s="338">
        <f>IF(FinalAmount&gt;B56, B56, FinalAmount)</f>
        <v>50000</v>
      </c>
      <c r="C65" s="339"/>
      <c r="E65" s="338">
        <f>IF(E63&gt;E56, E56, E63)</f>
        <v>0</v>
      </c>
      <c r="F65" s="339"/>
    </row>
    <row r="68" spans="2:6" x14ac:dyDescent="0.25">
      <c r="B68" s="358" t="s">
        <v>13</v>
      </c>
      <c r="C68" s="358"/>
      <c r="D68" s="358"/>
      <c r="E68" s="358"/>
      <c r="F68" s="126">
        <f>Parameters!C24</f>
        <v>0</v>
      </c>
    </row>
    <row r="69" spans="2:6" x14ac:dyDescent="0.25">
      <c r="B69" s="357" t="s">
        <v>166</v>
      </c>
      <c r="C69" s="358"/>
      <c r="D69" s="358"/>
      <c r="E69" s="358"/>
      <c r="F69" s="126">
        <f>Parameters!C31</f>
        <v>0</v>
      </c>
    </row>
    <row r="70" spans="2:6" x14ac:dyDescent="0.25">
      <c r="B70" s="357" t="s">
        <v>164</v>
      </c>
      <c r="C70" s="358"/>
      <c r="D70" s="358"/>
      <c r="E70" s="358"/>
      <c r="F70" s="126">
        <f>TotalDisposableIncome</f>
        <v>0</v>
      </c>
    </row>
    <row r="72" spans="2:6" ht="13.8" x14ac:dyDescent="0.25">
      <c r="B72" s="355" t="s">
        <v>26</v>
      </c>
      <c r="C72" s="355"/>
      <c r="D72" s="355"/>
      <c r="E72" s="355"/>
      <c r="F72" s="355"/>
    </row>
    <row r="73" spans="2:6" ht="13.2" customHeight="1" x14ac:dyDescent="0.25">
      <c r="B73" s="354" t="str">
        <f>IF(TotalMonthlyIncome&gt;0,SUM(TotalDisposableIncome/TotalMonthlyIncome),"")</f>
        <v/>
      </c>
      <c r="C73" s="354"/>
      <c r="D73" s="354"/>
      <c r="E73" s="354"/>
      <c r="F73" s="354"/>
    </row>
    <row r="74" spans="2:6" ht="13.2" customHeight="1" x14ac:dyDescent="0.25">
      <c r="B74" s="354"/>
      <c r="C74" s="354"/>
      <c r="D74" s="354"/>
      <c r="E74" s="354"/>
      <c r="F74" s="354"/>
    </row>
    <row r="75" spans="2:6" ht="13.2" customHeight="1" x14ac:dyDescent="0.25">
      <c r="B75" s="356" t="s">
        <v>131</v>
      </c>
      <c r="C75" s="356"/>
      <c r="D75" s="356"/>
      <c r="E75" s="356"/>
      <c r="F75" s="356"/>
    </row>
    <row r="76" spans="2:6" ht="13.8" x14ac:dyDescent="0.25">
      <c r="B76" s="337"/>
      <c r="C76" s="337"/>
      <c r="D76" s="337"/>
      <c r="E76" s="337"/>
      <c r="F76" s="337"/>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F68:F70" name="Range1_1_1"/>
    <protectedRange password="95CF" sqref="B73" name="Range1_2"/>
  </protectedRanges>
  <mergeCells count="36">
    <mergeCell ref="B70:E70"/>
    <mergeCell ref="B69:E69"/>
    <mergeCell ref="B55:C55"/>
    <mergeCell ref="B68:E68"/>
    <mergeCell ref="B58:C58"/>
    <mergeCell ref="B76:F76"/>
    <mergeCell ref="E65:F65"/>
    <mergeCell ref="E60:F60"/>
    <mergeCell ref="E61:F61"/>
    <mergeCell ref="E62:F62"/>
    <mergeCell ref="E63:F63"/>
    <mergeCell ref="E64:F64"/>
    <mergeCell ref="B65:C65"/>
    <mergeCell ref="B62:C62"/>
    <mergeCell ref="B63:C63"/>
    <mergeCell ref="B64:C64"/>
    <mergeCell ref="B60:C60"/>
    <mergeCell ref="B61:C61"/>
    <mergeCell ref="B73:F74"/>
    <mergeCell ref="B72:F72"/>
    <mergeCell ref="B75:F75"/>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159</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2025-03-28T10:57:03Z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